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J FILES\WORKING PAPER\2022\"/>
    </mc:Choice>
  </mc:AlternateContent>
  <xr:revisionPtr revIDLastSave="0" documentId="13_ncr:1_{E8DAC4C6-0FF2-4D10-8E2B-4013E738044D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JUNE2022" sheetId="61" r:id="rId1"/>
    <sheet name="MAY2022" sheetId="60" r:id="rId2"/>
    <sheet name="APR2022" sheetId="59" r:id="rId3"/>
    <sheet name="MAR2022" sheetId="58" r:id="rId4"/>
    <sheet name="FEB2022" sheetId="57" r:id="rId5"/>
    <sheet name="JAN2022" sheetId="56" r:id="rId6"/>
    <sheet name="breakdown" sheetId="53" r:id="rId7"/>
    <sheet name="DEC2021" sheetId="55" r:id="rId8"/>
    <sheet name="NOV2021" sheetId="52" r:id="rId9"/>
    <sheet name="NOV2021 (2)" sheetId="54" r:id="rId10"/>
    <sheet name="OCT2021" sheetId="51" r:id="rId11"/>
    <sheet name="SEPT2021" sheetId="50" r:id="rId12"/>
    <sheet name="AUG2021" sheetId="49" r:id="rId13"/>
    <sheet name="JULY2021" sheetId="48" r:id="rId14"/>
    <sheet name="JUNE2021" sheetId="47" r:id="rId15"/>
    <sheet name="MAY2021" sheetId="46" r:id="rId16"/>
    <sheet name="APR2021" sheetId="45" r:id="rId17"/>
    <sheet name="MARCH ADJUSTED" sheetId="43" r:id="rId18"/>
    <sheet name="MAR2021" sheetId="42" r:id="rId19"/>
    <sheet name="FEB2021" sheetId="41" r:id="rId20"/>
    <sheet name="JAN2021" sheetId="40" r:id="rId21"/>
    <sheet name="DEC2020" sheetId="39" r:id="rId22"/>
    <sheet name="DEC2020 (2)" sheetId="44" r:id="rId23"/>
  </sheets>
  <externalReferences>
    <externalReference r:id="rId24"/>
  </externalReferences>
  <definedNames>
    <definedName name="_xlnm.Print_Area" localSheetId="16">'APR2021'!$A$1:$G$32</definedName>
    <definedName name="_xlnm.Print_Area" localSheetId="2">'APR2022'!$A$1:$G$33</definedName>
    <definedName name="_xlnm.Print_Area" localSheetId="12">'AUG2021'!$A$1:$G$33</definedName>
    <definedName name="_xlnm.Print_Area" localSheetId="21">'DEC2020'!$A$1:$G$32</definedName>
    <definedName name="_xlnm.Print_Area" localSheetId="22">'DEC2020 (2)'!$A$1:$G$32</definedName>
    <definedName name="_xlnm.Print_Area" localSheetId="7">'DEC2021'!$A$1:$G$33</definedName>
    <definedName name="_xlnm.Print_Area" localSheetId="19">'FEB2021'!$A$1:$G$32</definedName>
    <definedName name="_xlnm.Print_Area" localSheetId="4">'FEB2022'!$A$1:$G$33</definedName>
    <definedName name="_xlnm.Print_Area" localSheetId="20">'JAN2021'!$A$1:$G$32</definedName>
    <definedName name="_xlnm.Print_Area" localSheetId="5">'JAN2022'!$A$1:$G$33</definedName>
    <definedName name="_xlnm.Print_Area" localSheetId="13">JULY2021!$A$1:$G$33</definedName>
    <definedName name="_xlnm.Print_Area" localSheetId="14">JUNE2021!$A$1:$G$33</definedName>
    <definedName name="_xlnm.Print_Area" localSheetId="0">JUNE2022!$A$1:$G$33</definedName>
    <definedName name="_xlnm.Print_Area" localSheetId="18">'MAR2021'!$A$1:$G$32</definedName>
    <definedName name="_xlnm.Print_Area" localSheetId="3">'MAR2022'!$A$1:$G$33</definedName>
    <definedName name="_xlnm.Print_Area" localSheetId="17">'MARCH ADJUSTED'!$A$1:$G$32</definedName>
    <definedName name="_xlnm.Print_Area" localSheetId="15">'MAY2021'!$A$1:$G$32</definedName>
    <definedName name="_xlnm.Print_Area" localSheetId="1">'MAY2022'!$A$1:$G$33</definedName>
    <definedName name="_xlnm.Print_Area" localSheetId="8">'NOV2021'!$A$1:$G$33</definedName>
    <definedName name="_xlnm.Print_Area" localSheetId="9">'NOV2021 (2)'!$A$1:$G$33</definedName>
    <definedName name="_xlnm.Print_Area" localSheetId="10">'OCT2021'!$A$1:$G$33</definedName>
    <definedName name="_xlnm.Print_Area" localSheetId="11">SEPT2021!$A$1:$G$33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5" l="1"/>
  <c r="C18" i="61"/>
  <c r="F14" i="58"/>
  <c r="F14" i="57"/>
  <c r="F14" i="56"/>
  <c r="F25" i="55" l="1"/>
  <c r="C25" i="55"/>
  <c r="F25" i="52"/>
  <c r="C25" i="52"/>
  <c r="F25" i="51"/>
  <c r="F24" i="61"/>
  <c r="G24" i="61" s="1"/>
  <c r="E26" i="61"/>
  <c r="D26" i="61"/>
  <c r="C26" i="61"/>
  <c r="B26" i="61"/>
  <c r="F25" i="61"/>
  <c r="G25" i="61" s="1"/>
  <c r="G23" i="61"/>
  <c r="G22" i="61"/>
  <c r="G21" i="61"/>
  <c r="G20" i="61"/>
  <c r="G19" i="61"/>
  <c r="G18" i="61"/>
  <c r="G17" i="61"/>
  <c r="E15" i="61"/>
  <c r="E27" i="61" s="1"/>
  <c r="F14" i="61"/>
  <c r="C14" i="61"/>
  <c r="G14" i="61" s="1"/>
  <c r="D15" i="61"/>
  <c r="D27" i="61" s="1"/>
  <c r="B15" i="61"/>
  <c r="B27" i="61" s="1"/>
  <c r="G12" i="61"/>
  <c r="G11" i="61"/>
  <c r="G10" i="61"/>
  <c r="F25" i="60"/>
  <c r="C14" i="60"/>
  <c r="F26" i="60"/>
  <c r="E26" i="60"/>
  <c r="D26" i="60"/>
  <c r="C26" i="60"/>
  <c r="B26" i="60"/>
  <c r="G25" i="60"/>
  <c r="G24" i="60"/>
  <c r="G23" i="60"/>
  <c r="G22" i="60"/>
  <c r="G21" i="60"/>
  <c r="G20" i="60"/>
  <c r="G19" i="60"/>
  <c r="G18" i="60"/>
  <c r="G17" i="60"/>
  <c r="E15" i="60"/>
  <c r="E27" i="60" s="1"/>
  <c r="D15" i="60"/>
  <c r="D27" i="60" s="1"/>
  <c r="G14" i="60"/>
  <c r="F14" i="60"/>
  <c r="B15" i="60"/>
  <c r="B27" i="60" s="1"/>
  <c r="G12" i="60"/>
  <c r="G11" i="60"/>
  <c r="G10" i="60"/>
  <c r="G14" i="57"/>
  <c r="F14" i="59"/>
  <c r="G14" i="59" s="1"/>
  <c r="F26" i="59"/>
  <c r="E26" i="59"/>
  <c r="D26" i="59"/>
  <c r="C26" i="59"/>
  <c r="B26" i="59"/>
  <c r="G25" i="59"/>
  <c r="F25" i="59"/>
  <c r="G24" i="59"/>
  <c r="G23" i="59"/>
  <c r="G22" i="59"/>
  <c r="G21" i="59"/>
  <c r="G20" i="59"/>
  <c r="G19" i="59"/>
  <c r="G18" i="59"/>
  <c r="G17" i="59"/>
  <c r="E15" i="59"/>
  <c r="E27" i="59" s="1"/>
  <c r="D15" i="59"/>
  <c r="D27" i="59" s="1"/>
  <c r="B15" i="59"/>
  <c r="B27" i="59" s="1"/>
  <c r="D13" i="59"/>
  <c r="B13" i="59"/>
  <c r="G12" i="59"/>
  <c r="G11" i="59"/>
  <c r="G10" i="59"/>
  <c r="F25" i="58"/>
  <c r="F26" i="58"/>
  <c r="E26" i="58"/>
  <c r="D26" i="58"/>
  <c r="C26" i="58"/>
  <c r="B26" i="58"/>
  <c r="G25" i="58"/>
  <c r="G24" i="58"/>
  <c r="G23" i="58"/>
  <c r="G22" i="58"/>
  <c r="G21" i="58"/>
  <c r="G20" i="58"/>
  <c r="G19" i="58"/>
  <c r="G18" i="58"/>
  <c r="G17" i="58"/>
  <c r="E15" i="58"/>
  <c r="E27" i="58" s="1"/>
  <c r="B15" i="58"/>
  <c r="B27" i="58" s="1"/>
  <c r="G14" i="58"/>
  <c r="D15" i="58"/>
  <c r="D27" i="58" s="1"/>
  <c r="G12" i="58"/>
  <c r="G11" i="58"/>
  <c r="G10" i="58"/>
  <c r="F26" i="57"/>
  <c r="E26" i="57"/>
  <c r="D26" i="57"/>
  <c r="C26" i="57"/>
  <c r="B26" i="57"/>
  <c r="G25" i="57"/>
  <c r="G24" i="57"/>
  <c r="G23" i="57"/>
  <c r="G22" i="57"/>
  <c r="G21" i="57"/>
  <c r="G20" i="57"/>
  <c r="G19" i="57"/>
  <c r="G18" i="57"/>
  <c r="G17" i="57"/>
  <c r="E15" i="57"/>
  <c r="E27" i="57" s="1"/>
  <c r="D15" i="57"/>
  <c r="B15" i="57"/>
  <c r="B27" i="57" s="1"/>
  <c r="G12" i="57"/>
  <c r="G11" i="57"/>
  <c r="G10" i="57"/>
  <c r="D15" i="56"/>
  <c r="E26" i="56"/>
  <c r="B26" i="56"/>
  <c r="G25" i="56"/>
  <c r="G24" i="56"/>
  <c r="G23" i="56"/>
  <c r="G22" i="56"/>
  <c r="G21" i="56"/>
  <c r="G20" i="56"/>
  <c r="G19" i="56"/>
  <c r="D26" i="56"/>
  <c r="G18" i="56"/>
  <c r="G17" i="56"/>
  <c r="E15" i="56"/>
  <c r="E27" i="56" s="1"/>
  <c r="G12" i="56"/>
  <c r="G11" i="56"/>
  <c r="G10" i="56"/>
  <c r="C13" i="55"/>
  <c r="B13" i="55"/>
  <c r="G13" i="55"/>
  <c r="B15" i="55"/>
  <c r="B27" i="55" s="1"/>
  <c r="F18" i="54"/>
  <c r="D19" i="55"/>
  <c r="F14" i="55"/>
  <c r="E26" i="55"/>
  <c r="D26" i="55"/>
  <c r="B26" i="55"/>
  <c r="G25" i="55"/>
  <c r="F24" i="55"/>
  <c r="G24" i="55" s="1"/>
  <c r="G23" i="55"/>
  <c r="G22" i="55"/>
  <c r="G21" i="55"/>
  <c r="G20" i="55"/>
  <c r="G19" i="55"/>
  <c r="F26" i="55"/>
  <c r="C17" i="55"/>
  <c r="G17" i="55" s="1"/>
  <c r="E15" i="55"/>
  <c r="E27" i="55" s="1"/>
  <c r="F15" i="55"/>
  <c r="D14" i="55"/>
  <c r="D15" i="55" s="1"/>
  <c r="C14" i="55"/>
  <c r="B14" i="55"/>
  <c r="G14" i="55" s="1"/>
  <c r="G12" i="55"/>
  <c r="G11" i="55"/>
  <c r="G10" i="55"/>
  <c r="D19" i="54"/>
  <c r="D26" i="54" s="1"/>
  <c r="D14" i="54"/>
  <c r="D15" i="54" s="1"/>
  <c r="E26" i="54"/>
  <c r="C26" i="54"/>
  <c r="B26" i="54"/>
  <c r="F25" i="54"/>
  <c r="G25" i="54" s="1"/>
  <c r="F24" i="54"/>
  <c r="G24" i="54" s="1"/>
  <c r="G23" i="54"/>
  <c r="G22" i="54"/>
  <c r="G21" i="54"/>
  <c r="G20" i="54"/>
  <c r="G18" i="54"/>
  <c r="C17" i="54"/>
  <c r="G17" i="54" s="1"/>
  <c r="F15" i="54"/>
  <c r="E15" i="54"/>
  <c r="E27" i="54" s="1"/>
  <c r="F14" i="54"/>
  <c r="C14" i="54"/>
  <c r="C15" i="54" s="1"/>
  <c r="C27" i="54" s="1"/>
  <c r="B14" i="54"/>
  <c r="B15" i="54" s="1"/>
  <c r="B27" i="54" s="1"/>
  <c r="G13" i="54"/>
  <c r="G12" i="54"/>
  <c r="G11" i="54"/>
  <c r="G10" i="54"/>
  <c r="A32" i="53"/>
  <c r="D41" i="53"/>
  <c r="D21" i="53"/>
  <c r="D30" i="53"/>
  <c r="D15" i="53"/>
  <c r="D8" i="53"/>
  <c r="G26" i="58" l="1"/>
  <c r="G26" i="59"/>
  <c r="G26" i="60"/>
  <c r="F26" i="61"/>
  <c r="G26" i="61"/>
  <c r="G26" i="57"/>
  <c r="D27" i="57"/>
  <c r="G26" i="56"/>
  <c r="G14" i="56"/>
  <c r="D27" i="56"/>
  <c r="B15" i="56"/>
  <c r="B27" i="56" s="1"/>
  <c r="F26" i="56"/>
  <c r="C26" i="56"/>
  <c r="C15" i="55"/>
  <c r="F27" i="55"/>
  <c r="D27" i="55"/>
  <c r="G15" i="55"/>
  <c r="G18" i="55"/>
  <c r="G26" i="55" s="1"/>
  <c r="C26" i="55"/>
  <c r="D27" i="54"/>
  <c r="G15" i="54"/>
  <c r="F26" i="54"/>
  <c r="F27" i="54" s="1"/>
  <c r="G19" i="54"/>
  <c r="G26" i="54" s="1"/>
  <c r="G14" i="54"/>
  <c r="D43" i="53"/>
  <c r="F13" i="59" l="1"/>
  <c r="F15" i="59" s="1"/>
  <c r="F27" i="59" s="1"/>
  <c r="F15" i="58"/>
  <c r="F27" i="58" s="1"/>
  <c r="F15" i="61"/>
  <c r="F27" i="61" s="1"/>
  <c r="F15" i="60"/>
  <c r="F27" i="60" s="1"/>
  <c r="C27" i="55"/>
  <c r="G27" i="55"/>
  <c r="G27" i="54"/>
  <c r="D19" i="52"/>
  <c r="D26" i="52" s="1"/>
  <c r="F24" i="52"/>
  <c r="F26" i="52" s="1"/>
  <c r="F18" i="52"/>
  <c r="F14" i="52"/>
  <c r="E26" i="52"/>
  <c r="B26" i="52"/>
  <c r="G25" i="52"/>
  <c r="G23" i="52"/>
  <c r="G22" i="52"/>
  <c r="G21" i="52"/>
  <c r="G20" i="52"/>
  <c r="G19" i="52"/>
  <c r="C17" i="52"/>
  <c r="G17" i="52" s="1"/>
  <c r="E15" i="52"/>
  <c r="E27" i="52" s="1"/>
  <c r="D15" i="52"/>
  <c r="C15" i="52"/>
  <c r="B15" i="52"/>
  <c r="B27" i="52" s="1"/>
  <c r="G14" i="52"/>
  <c r="C14" i="52"/>
  <c r="B14" i="52"/>
  <c r="G13" i="52"/>
  <c r="G12" i="52"/>
  <c r="G11" i="52"/>
  <c r="G10" i="52"/>
  <c r="G25" i="51"/>
  <c r="D19" i="51"/>
  <c r="D26" i="51" s="1"/>
  <c r="F14" i="51"/>
  <c r="G14" i="51" s="1"/>
  <c r="E26" i="51"/>
  <c r="B26" i="51"/>
  <c r="F24" i="51"/>
  <c r="G24" i="51" s="1"/>
  <c r="G23" i="51"/>
  <c r="G22" i="51"/>
  <c r="G21" i="51"/>
  <c r="G20" i="51"/>
  <c r="G19" i="51"/>
  <c r="F18" i="51"/>
  <c r="G18" i="51" s="1"/>
  <c r="G17" i="51"/>
  <c r="C17" i="51"/>
  <c r="C26" i="51" s="1"/>
  <c r="E15" i="51"/>
  <c r="E27" i="51" s="1"/>
  <c r="D15" i="51"/>
  <c r="B15" i="51"/>
  <c r="B27" i="51" s="1"/>
  <c r="C14" i="51"/>
  <c r="C15" i="51" s="1"/>
  <c r="B14" i="51"/>
  <c r="G13" i="51"/>
  <c r="G12" i="51"/>
  <c r="G11" i="51"/>
  <c r="G10" i="51"/>
  <c r="F24" i="50"/>
  <c r="F14" i="50"/>
  <c r="E26" i="50"/>
  <c r="E27" i="50" s="1"/>
  <c r="D26" i="50"/>
  <c r="B26" i="50"/>
  <c r="G25" i="50"/>
  <c r="F25" i="50"/>
  <c r="G24" i="50"/>
  <c r="G23" i="50"/>
  <c r="G22" i="50"/>
  <c r="G21" i="50"/>
  <c r="G20" i="50"/>
  <c r="G19" i="50"/>
  <c r="F18" i="50"/>
  <c r="F26" i="50" s="1"/>
  <c r="C17" i="50"/>
  <c r="G17" i="50" s="1"/>
  <c r="E15" i="50"/>
  <c r="D15" i="50"/>
  <c r="D27" i="50" s="1"/>
  <c r="C15" i="50"/>
  <c r="B15" i="50"/>
  <c r="B27" i="50" s="1"/>
  <c r="F15" i="50"/>
  <c r="C14" i="50"/>
  <c r="B14" i="50"/>
  <c r="G13" i="50"/>
  <c r="G12" i="50"/>
  <c r="G11" i="50"/>
  <c r="G10" i="50"/>
  <c r="C17" i="49"/>
  <c r="C26" i="49" s="1"/>
  <c r="F25" i="49"/>
  <c r="F24" i="49"/>
  <c r="F14" i="49"/>
  <c r="F15" i="49" s="1"/>
  <c r="E26" i="49"/>
  <c r="D26" i="49"/>
  <c r="B26" i="49"/>
  <c r="G25" i="49"/>
  <c r="G24" i="49"/>
  <c r="G23" i="49"/>
  <c r="G22" i="49"/>
  <c r="G21" i="49"/>
  <c r="G20" i="49"/>
  <c r="G19" i="49"/>
  <c r="F18" i="49"/>
  <c r="G18" i="49" s="1"/>
  <c r="G17" i="49"/>
  <c r="E15" i="49"/>
  <c r="E27" i="49" s="1"/>
  <c r="D15" i="49"/>
  <c r="C14" i="49"/>
  <c r="C15" i="49" s="1"/>
  <c r="B14" i="49"/>
  <c r="B15" i="49" s="1"/>
  <c r="B27" i="49" s="1"/>
  <c r="G13" i="49"/>
  <c r="G12" i="49"/>
  <c r="G11" i="49"/>
  <c r="G10" i="49"/>
  <c r="C14" i="48"/>
  <c r="B14" i="48"/>
  <c r="F15" i="57" l="1"/>
  <c r="F27" i="57" s="1"/>
  <c r="F15" i="56"/>
  <c r="F27" i="56" s="1"/>
  <c r="C13" i="59"/>
  <c r="D27" i="52"/>
  <c r="G24" i="52"/>
  <c r="G15" i="52"/>
  <c r="G18" i="52"/>
  <c r="F15" i="52"/>
  <c r="F27" i="52" s="1"/>
  <c r="C26" i="52"/>
  <c r="C27" i="52" s="1"/>
  <c r="D27" i="51"/>
  <c r="G15" i="51"/>
  <c r="F15" i="51"/>
  <c r="G26" i="51"/>
  <c r="G27" i="51" s="1"/>
  <c r="C27" i="51"/>
  <c r="F26" i="51"/>
  <c r="F27" i="50"/>
  <c r="G26" i="50"/>
  <c r="G18" i="50"/>
  <c r="G14" i="50"/>
  <c r="G15" i="50" s="1"/>
  <c r="C26" i="50"/>
  <c r="C27" i="50" s="1"/>
  <c r="F26" i="49"/>
  <c r="F27" i="49" s="1"/>
  <c r="D27" i="49"/>
  <c r="C27" i="49"/>
  <c r="G26" i="49"/>
  <c r="G14" i="49"/>
  <c r="G15" i="49" s="1"/>
  <c r="F18" i="48"/>
  <c r="G18" i="48" s="1"/>
  <c r="G26" i="48" s="1"/>
  <c r="E27" i="47"/>
  <c r="C27" i="47"/>
  <c r="E27" i="48"/>
  <c r="F14" i="48"/>
  <c r="E26" i="48"/>
  <c r="D26" i="48"/>
  <c r="C26" i="48"/>
  <c r="B26" i="48"/>
  <c r="F25" i="48"/>
  <c r="G25" i="48" s="1"/>
  <c r="G24" i="48"/>
  <c r="F24" i="48"/>
  <c r="G23" i="48"/>
  <c r="G22" i="48"/>
  <c r="G21" i="48"/>
  <c r="G20" i="48"/>
  <c r="G19" i="48"/>
  <c r="G17" i="48"/>
  <c r="F15" i="48"/>
  <c r="E15" i="48"/>
  <c r="D15" i="48"/>
  <c r="D27" i="48" s="1"/>
  <c r="C15" i="48"/>
  <c r="C27" i="48" s="1"/>
  <c r="B15" i="48"/>
  <c r="G14" i="48"/>
  <c r="G13" i="48"/>
  <c r="G12" i="48"/>
  <c r="G11" i="48"/>
  <c r="G10" i="48"/>
  <c r="F24" i="47"/>
  <c r="G24" i="47" s="1"/>
  <c r="F18" i="47"/>
  <c r="G18" i="47" s="1"/>
  <c r="F14" i="47"/>
  <c r="G14" i="47" s="1"/>
  <c r="E26" i="47"/>
  <c r="D26" i="47"/>
  <c r="C26" i="47"/>
  <c r="B26" i="47"/>
  <c r="F25" i="47"/>
  <c r="G25" i="47" s="1"/>
  <c r="G23" i="47"/>
  <c r="G22" i="47"/>
  <c r="G21" i="47"/>
  <c r="G20" i="47"/>
  <c r="G19" i="47"/>
  <c r="G17" i="47"/>
  <c r="E15" i="47"/>
  <c r="D15" i="47"/>
  <c r="D27" i="47" s="1"/>
  <c r="C15" i="47"/>
  <c r="B15" i="47"/>
  <c r="B27" i="47" s="1"/>
  <c r="G13" i="47"/>
  <c r="G12" i="47"/>
  <c r="G11" i="47"/>
  <c r="G10" i="47"/>
  <c r="F14" i="46"/>
  <c r="G14" i="46"/>
  <c r="F25" i="46"/>
  <c r="E25" i="46"/>
  <c r="E26" i="46" s="1"/>
  <c r="D25" i="46"/>
  <c r="C25" i="46"/>
  <c r="B25" i="46"/>
  <c r="G24" i="46"/>
  <c r="F24" i="46"/>
  <c r="G23" i="46"/>
  <c r="G22" i="46"/>
  <c r="G21" i="46"/>
  <c r="G20" i="46"/>
  <c r="G19" i="46"/>
  <c r="G18" i="46"/>
  <c r="G17" i="46"/>
  <c r="E15" i="46"/>
  <c r="D15" i="46"/>
  <c r="D26" i="46" s="1"/>
  <c r="C15" i="46"/>
  <c r="C26" i="46" s="1"/>
  <c r="B15" i="46"/>
  <c r="G13" i="46"/>
  <c r="G12" i="46"/>
  <c r="G11" i="46"/>
  <c r="G10" i="46"/>
  <c r="F24" i="45"/>
  <c r="F25" i="45" s="1"/>
  <c r="F14" i="45"/>
  <c r="G14" i="45" s="1"/>
  <c r="E25" i="45"/>
  <c r="D25" i="45"/>
  <c r="C25" i="45"/>
  <c r="C26" i="45" s="1"/>
  <c r="B25" i="45"/>
  <c r="G23" i="45"/>
  <c r="G22" i="45"/>
  <c r="G21" i="45"/>
  <c r="G20" i="45"/>
  <c r="G19" i="45"/>
  <c r="G18" i="45"/>
  <c r="G17" i="45"/>
  <c r="E15" i="45"/>
  <c r="E26" i="45" s="1"/>
  <c r="D15" i="45"/>
  <c r="D26" i="45" s="1"/>
  <c r="C15" i="45"/>
  <c r="B15" i="45"/>
  <c r="G13" i="45"/>
  <c r="G12" i="45"/>
  <c r="G11" i="45"/>
  <c r="G10" i="45"/>
  <c r="C15" i="61" l="1"/>
  <c r="C27" i="61" s="1"/>
  <c r="G13" i="61"/>
  <c r="G15" i="61" s="1"/>
  <c r="G27" i="61" s="1"/>
  <c r="G28" i="61" s="1"/>
  <c r="C15" i="58"/>
  <c r="C27" i="58" s="1"/>
  <c r="G13" i="58"/>
  <c r="G15" i="58" s="1"/>
  <c r="G27" i="58" s="1"/>
  <c r="G28" i="58" s="1"/>
  <c r="C15" i="59"/>
  <c r="C27" i="59" s="1"/>
  <c r="G13" i="59"/>
  <c r="G15" i="59" s="1"/>
  <c r="G27" i="59" s="1"/>
  <c r="G28" i="59" s="1"/>
  <c r="C15" i="56"/>
  <c r="C27" i="56" s="1"/>
  <c r="G13" i="56"/>
  <c r="G15" i="56" s="1"/>
  <c r="G27" i="56" s="1"/>
  <c r="G29" i="56" s="1"/>
  <c r="C15" i="60"/>
  <c r="C27" i="60" s="1"/>
  <c r="G13" i="60"/>
  <c r="G15" i="60" s="1"/>
  <c r="G27" i="60" s="1"/>
  <c r="G28" i="60" s="1"/>
  <c r="G26" i="52"/>
  <c r="G27" i="52" s="1"/>
  <c r="F27" i="51"/>
  <c r="G27" i="50"/>
  <c r="B26" i="46"/>
  <c r="B27" i="48"/>
  <c r="B26" i="45"/>
  <c r="G25" i="46"/>
  <c r="G27" i="49"/>
  <c r="G28" i="49" s="1"/>
  <c r="G15" i="48"/>
  <c r="G27" i="48" s="1"/>
  <c r="F26" i="48"/>
  <c r="F27" i="48" s="1"/>
  <c r="G15" i="47"/>
  <c r="F15" i="47"/>
  <c r="F27" i="47" s="1"/>
  <c r="G26" i="47"/>
  <c r="F26" i="47"/>
  <c r="G15" i="46"/>
  <c r="G26" i="46" s="1"/>
  <c r="F15" i="46"/>
  <c r="F26" i="46" s="1"/>
  <c r="G24" i="45"/>
  <c r="G25" i="45" s="1"/>
  <c r="G15" i="45"/>
  <c r="F15" i="45"/>
  <c r="F26" i="45" s="1"/>
  <c r="F14" i="43"/>
  <c r="F15" i="43" s="1"/>
  <c r="F26" i="43" s="1"/>
  <c r="F25" i="44"/>
  <c r="E25" i="44"/>
  <c r="D25" i="44"/>
  <c r="G24" i="44"/>
  <c r="G23" i="44"/>
  <c r="G22" i="44"/>
  <c r="G21" i="44"/>
  <c r="G20" i="44"/>
  <c r="G19" i="44"/>
  <c r="G18" i="44"/>
  <c r="C25" i="44"/>
  <c r="E15" i="44"/>
  <c r="E26" i="44" s="1"/>
  <c r="D15" i="44"/>
  <c r="C15" i="44"/>
  <c r="B15" i="44"/>
  <c r="F15" i="44"/>
  <c r="G13" i="44"/>
  <c r="G12" i="44"/>
  <c r="G11" i="44"/>
  <c r="G10" i="44"/>
  <c r="F14" i="42"/>
  <c r="F25" i="43"/>
  <c r="E25" i="43"/>
  <c r="D25" i="43"/>
  <c r="G24" i="43"/>
  <c r="G23" i="43"/>
  <c r="G22" i="43"/>
  <c r="G21" i="43"/>
  <c r="G20" i="43"/>
  <c r="G19" i="43"/>
  <c r="B25" i="43"/>
  <c r="C25" i="43"/>
  <c r="E15" i="43"/>
  <c r="D15" i="43"/>
  <c r="C15" i="43"/>
  <c r="B15" i="43"/>
  <c r="G13" i="43"/>
  <c r="G12" i="43"/>
  <c r="G11" i="43"/>
  <c r="G10" i="43"/>
  <c r="C15" i="57" l="1"/>
  <c r="C27" i="57" s="1"/>
  <c r="G13" i="57"/>
  <c r="G15" i="57" s="1"/>
  <c r="G27" i="57" s="1"/>
  <c r="G28" i="57" s="1"/>
  <c r="D26" i="44"/>
  <c r="C26" i="43"/>
  <c r="D26" i="43"/>
  <c r="E26" i="43"/>
  <c r="G27" i="47"/>
  <c r="G26" i="45"/>
  <c r="F26" i="44"/>
  <c r="C26" i="44"/>
  <c r="G17" i="44"/>
  <c r="G25" i="44" s="1"/>
  <c r="B25" i="44"/>
  <c r="B26" i="44" s="1"/>
  <c r="G14" i="44"/>
  <c r="G15" i="44" s="1"/>
  <c r="B26" i="43"/>
  <c r="G18" i="43"/>
  <c r="G17" i="43"/>
  <c r="G14" i="43"/>
  <c r="G15" i="43" s="1"/>
  <c r="G26" i="44" l="1"/>
  <c r="G25" i="43"/>
  <c r="G26" i="43" s="1"/>
  <c r="E25" i="42" l="1"/>
  <c r="D25" i="42"/>
  <c r="G24" i="42"/>
  <c r="G23" i="42"/>
  <c r="C22" i="42"/>
  <c r="G22" i="42" s="1"/>
  <c r="G21" i="42"/>
  <c r="G20" i="42"/>
  <c r="G19" i="42"/>
  <c r="F18" i="42"/>
  <c r="F25" i="42" s="1"/>
  <c r="B18" i="42"/>
  <c r="B25" i="42" s="1"/>
  <c r="C17" i="42"/>
  <c r="E15" i="42"/>
  <c r="D15" i="42"/>
  <c r="D26" i="42" s="1"/>
  <c r="C15" i="42"/>
  <c r="B15" i="42"/>
  <c r="G14" i="42"/>
  <c r="G13" i="42"/>
  <c r="G12" i="42"/>
  <c r="G11" i="42"/>
  <c r="G10" i="42"/>
  <c r="E26" i="42" l="1"/>
  <c r="C25" i="42"/>
  <c r="C26" i="42"/>
  <c r="G17" i="42"/>
  <c r="B26" i="42"/>
  <c r="G15" i="42"/>
  <c r="G18" i="42"/>
  <c r="G25" i="42" s="1"/>
  <c r="F15" i="42"/>
  <c r="F26" i="42" s="1"/>
  <c r="F14" i="41"/>
  <c r="F15" i="41" s="1"/>
  <c r="E25" i="41"/>
  <c r="D25" i="41"/>
  <c r="G24" i="41"/>
  <c r="G23" i="41"/>
  <c r="C22" i="41"/>
  <c r="G22" i="41" s="1"/>
  <c r="G21" i="41"/>
  <c r="G20" i="41"/>
  <c r="G19" i="41"/>
  <c r="F18" i="41"/>
  <c r="F25" i="41" s="1"/>
  <c r="B18" i="41"/>
  <c r="B25" i="41" s="1"/>
  <c r="C17" i="41"/>
  <c r="E15" i="41"/>
  <c r="D15" i="41"/>
  <c r="D26" i="41" s="1"/>
  <c r="C15" i="41"/>
  <c r="B15" i="41"/>
  <c r="B26" i="41" s="1"/>
  <c r="G13" i="41"/>
  <c r="G12" i="41"/>
  <c r="G11" i="41"/>
  <c r="G10" i="41"/>
  <c r="F26" i="41" l="1"/>
  <c r="E26" i="41"/>
  <c r="C25" i="41"/>
  <c r="C26" i="41" s="1"/>
  <c r="G26" i="42"/>
  <c r="G14" i="41"/>
  <c r="G15" i="41"/>
  <c r="G17" i="41"/>
  <c r="G18" i="41"/>
  <c r="F18" i="40"/>
  <c r="F25" i="40" s="1"/>
  <c r="F14" i="40"/>
  <c r="F15" i="40" s="1"/>
  <c r="E25" i="40"/>
  <c r="D25" i="40"/>
  <c r="G24" i="40"/>
  <c r="G23" i="40"/>
  <c r="C22" i="40"/>
  <c r="G22" i="40" s="1"/>
  <c r="G21" i="40"/>
  <c r="G20" i="40"/>
  <c r="G19" i="40"/>
  <c r="B18" i="40"/>
  <c r="G18" i="40" s="1"/>
  <c r="C17" i="40"/>
  <c r="E15" i="40"/>
  <c r="D15" i="40"/>
  <c r="C15" i="40"/>
  <c r="B15" i="40"/>
  <c r="G13" i="40"/>
  <c r="G12" i="40"/>
  <c r="G11" i="40"/>
  <c r="G10" i="40"/>
  <c r="G25" i="41" l="1"/>
  <c r="C25" i="40"/>
  <c r="D26" i="40"/>
  <c r="B25" i="40"/>
  <c r="B26" i="40"/>
  <c r="C26" i="40"/>
  <c r="E26" i="40"/>
  <c r="G26" i="41"/>
  <c r="F26" i="40"/>
  <c r="G17" i="40"/>
  <c r="G25" i="40" s="1"/>
  <c r="G14" i="40"/>
  <c r="G15" i="40" s="1"/>
  <c r="F14" i="39"/>
  <c r="G26" i="40" l="1"/>
  <c r="G20" i="39"/>
  <c r="G23" i="39"/>
  <c r="G14" i="39" l="1"/>
  <c r="F25" i="39"/>
  <c r="E25" i="39"/>
  <c r="D25" i="39"/>
  <c r="G24" i="39"/>
  <c r="C22" i="39"/>
  <c r="G22" i="39" s="1"/>
  <c r="G21" i="39"/>
  <c r="G19" i="39"/>
  <c r="B18" i="39"/>
  <c r="G18" i="39" s="1"/>
  <c r="C17" i="39"/>
  <c r="G17" i="39" s="1"/>
  <c r="F15" i="39"/>
  <c r="E15" i="39"/>
  <c r="D15" i="39"/>
  <c r="C15" i="39"/>
  <c r="B15" i="39"/>
  <c r="G13" i="39"/>
  <c r="G12" i="39"/>
  <c r="G11" i="39"/>
  <c r="G10" i="39"/>
  <c r="F26" i="39" l="1"/>
  <c r="E26" i="39"/>
  <c r="D26" i="39"/>
  <c r="G15" i="39"/>
  <c r="G25" i="39"/>
  <c r="B25" i="39"/>
  <c r="B26" i="39" s="1"/>
  <c r="C25" i="39"/>
  <c r="C26" i="39" s="1"/>
  <c r="G26" i="39" l="1"/>
</calcChain>
</file>

<file path=xl/sharedStrings.xml><?xml version="1.0" encoding="utf-8"?>
<sst xmlns="http://schemas.openxmlformats.org/spreadsheetml/2006/main" count="864" uniqueCount="89">
  <si>
    <t>Annex B</t>
  </si>
  <si>
    <t>Report on Utilization of Disaster Risk Reduction and Management Fund</t>
  </si>
  <si>
    <t>Trust Fund</t>
  </si>
  <si>
    <t>City of San Fernando (P)</t>
  </si>
  <si>
    <t>Particulars</t>
  </si>
  <si>
    <t>LDRRMF</t>
  </si>
  <si>
    <t>NDRRMF</t>
  </si>
  <si>
    <t>From Other LGUs</t>
  </si>
  <si>
    <t>From Other Sources</t>
  </si>
  <si>
    <t>Total</t>
  </si>
  <si>
    <t>Quick Response Fund (QRF) 30%</t>
  </si>
  <si>
    <t>Mitigation Fund 70%</t>
  </si>
  <si>
    <t>A. Sources of Funds:</t>
  </si>
  <si>
    <t>Current Appropriation</t>
  </si>
  <si>
    <t>Continuing Appropriation</t>
  </si>
  <si>
    <t>Previous Year's Appropriation transferred to the Special Trust Fund</t>
  </si>
  <si>
    <t>Transfers / Grants</t>
  </si>
  <si>
    <t>Total Funds Available</t>
  </si>
  <si>
    <t>B. Utilization</t>
  </si>
  <si>
    <t>Information Education Campaign</t>
  </si>
  <si>
    <t>Equipment</t>
  </si>
  <si>
    <t>Infrastructure</t>
  </si>
  <si>
    <t>Total Utilization</t>
  </si>
  <si>
    <t>Unutilized Balance</t>
  </si>
  <si>
    <t>Prepared by:</t>
  </si>
  <si>
    <t>Certified Correct:</t>
  </si>
  <si>
    <t>REGIE N. BONDOC</t>
  </si>
  <si>
    <t>MARIA GISEL P. RIVERA</t>
  </si>
  <si>
    <t>City Accountant</t>
  </si>
  <si>
    <t>Desilting/Dredging Expenses</t>
  </si>
  <si>
    <t>Repairs and Maintenance</t>
  </si>
  <si>
    <t>Prepositioning of Goods</t>
  </si>
  <si>
    <t xml:space="preserve"> </t>
  </si>
  <si>
    <t>SAO</t>
  </si>
  <si>
    <t>Food Subsistence</t>
  </si>
  <si>
    <t>as of December 31, 2020</t>
  </si>
  <si>
    <t>Incentives (Bayanihan Act)</t>
  </si>
  <si>
    <t>as of January 31, 2021</t>
  </si>
  <si>
    <t>as of February 28, 2021</t>
  </si>
  <si>
    <t>as of March 31, 2021</t>
  </si>
  <si>
    <t>Drugs, Medicines and Medical Supplies</t>
  </si>
  <si>
    <t>as of April 30, 2021</t>
  </si>
  <si>
    <t>as of May 31, 2021</t>
  </si>
  <si>
    <t>as of June 30, 2021</t>
  </si>
  <si>
    <t>Other MOOE</t>
  </si>
  <si>
    <t>as of July 31, 2021</t>
  </si>
  <si>
    <t>as of August 31, 2021</t>
  </si>
  <si>
    <t>as of September 30, 2021</t>
  </si>
  <si>
    <t>as of October 31, 2021</t>
  </si>
  <si>
    <t>as of November 29, 2021</t>
  </si>
  <si>
    <t>EILEEN A. TULIO</t>
  </si>
  <si>
    <t>OIC-City Accountant</t>
  </si>
  <si>
    <t>TOTAL</t>
  </si>
  <si>
    <t xml:space="preserve"> Equipment </t>
  </si>
  <si>
    <t>TOTAL UTILIZATION</t>
  </si>
  <si>
    <t>as of November 30, 2021</t>
  </si>
  <si>
    <t>Imang Nene Fast Food and Casual Dining-payment for meals served during the Community Bases Disasater Risk Reduction &amp; Management Training 2019, RCI No.300-21-05-026, Check No. 2303059,Check Date 01/12/21, DV No.4</t>
  </si>
  <si>
    <t>KNF Enterprises-payment for hygiene kits used during the Community-Based Flood Drill, Check No. Simulation Exercise, RCI No.2021-08-0037 , Check No. 2303112, Check Date 08/09/21, DV No.60</t>
  </si>
  <si>
    <t>MRL Cybertec Corporation-payment for high speed centrifuge for COVID19 Testing, RCI No.300-21-01-0003, Check No. 2303031, Check Date 10/12/20, DV No.73</t>
  </si>
  <si>
    <t>Real Deal Gen Mdse-payment for filing cabinet used for COVID-19 Vaccination Program, RCI No.300-21-06-028, Check No.2303098, Check Date 05/28/21, DV No.46</t>
  </si>
  <si>
    <t>Golden Solutions Consumer Goods Trading-payment for portable PA (public addressing) system to be used for the COVID-19 vaccination program, RCI No.2021-07-0035, Check No.2303108, Check Date 07/09/21, DV No.56</t>
  </si>
  <si>
    <t>Real Deal Gen Mdse-payment for 2 units smart phone with sim to be used by Task Force Testing for COVID19 Response , RCI No.2021-11-0061, Check No.2303147, Check Date 11/17/21, DV No.94</t>
  </si>
  <si>
    <t>Chariots Construction and Trading-payment for labor and materials for the rehabilitation , Check No. improvement of slope protection at San Agustin CSFP (NDRRMF-DBM), RCI No.2021-08-0036 , Check No. 2303111, Check Date 08/06/21, DV No.59</t>
  </si>
  <si>
    <t>Alfredo D Santos Construction-payment for labor and materials for the improvement of slope protection (Phase II) at Magliman CSFP, RCI No.2021-10-0053, Check Number 2303139, Check Date 10/27/21, DV No.86</t>
  </si>
  <si>
    <t>RG Diaz Builders and Trading-payment for labor and materials for the construction/ improvement of slope protection at San Isidro CSFP, RCI No.2021-11-0063, Check No.2303154, Check Date 11/25/21, DV No.101</t>
  </si>
  <si>
    <t>KNF Enterprises-payment for disinfecting foot bathmat for COVID-19 Vaccination Program, RCI No.300-21-06-030, Check No.2303099, Check Date 06/01/21, DV No.47</t>
  </si>
  <si>
    <t>Real Deal Gen Mdse-payment for duct tape and data file box with cover used for COVID-19 Vaccination Program, RCI No.300-21-06-030, Check No.2303100, Check Date 06/03/21, DV No.48</t>
  </si>
  <si>
    <t>Golden Solutions Consumer Goods Trading-payment for laundry supplies to be used at the Task Force Isolatoin and Quarantine for COVID-19 Response, RCI No.2021-08-0038 , Check No. 2303114, Check Date 08/09/21, DV No.61</t>
  </si>
  <si>
    <t>Real Deal Gen Mdse-payment for xiplock to be used for COVID-19 Vaccination Program, RCI No.2021-09-0042, Check No. 2303121, Check Date 08/20/21, DV No.68</t>
  </si>
  <si>
    <t>G-Well Gen Mdse-payment for office supplies to be used at the Task Group Testing for COVID-19 Response, RCI No.2021-09-0044, Check No. 2303122, Check Date 09/01/21, DV No.69</t>
  </si>
  <si>
    <t>G-Well Gen Mdse-payment for office supplies to be used at the Task Group Testing for COVID19 Response, RCI No.2021-11-0064, Check No.2303138, Check Date 10/25/21, DV No.85</t>
  </si>
  <si>
    <t>Renely Tungol - reimbursement for the purchase of Synbioprim capsules to be given to frontliners for COVID-19 response, RCI No.300-21-03-011, Check No. 2303063, Check No.01/25/21, DV No.8</t>
  </si>
  <si>
    <t>Great Breed Enterprises Company-payment for antigen rapid test device to be used at the COVID19 response,RCI No.300-21-04-020Check No. 2303083, Check Date 03/15/21,DV No.31</t>
  </si>
  <si>
    <t>Accustandard Medical &amp; Diagnostic Supplies Corporation-payment for medical supplies to be used at the Task Group Testing for COVID19 Response, RCI No.2021-08-0040 , Check No. 2303110, Check Date 07/28/21, DV No.58</t>
  </si>
  <si>
    <t>Real Deal Gen Mdse-payment for batteries to be used for COVID-19 Vaccination Program, RCI No.2021-10-0050, Check Number 2303130, Check Date 10/06/21, DV No.80</t>
  </si>
  <si>
    <t>Real Deal Gen Mdse-payment for office supplies to be used by Task Force Testing for COVID19 Response , RCI No.2021-11-0058, Check No.2303146, Check Date 11/16/21, DV No.93</t>
  </si>
  <si>
    <t>Vitaline Healthcare Inc-payment for rapid antigen kits, yellow tip pipette and thermal paper to be used by Task Force Testing for COVID19 Response, RCI No.2021-11-0060, Check No.2303143, Check Date 11/16/21, DV No.90</t>
  </si>
  <si>
    <t>Golden Solutions Consumer Goods Trading-payment for auto disable syringe to be used for COVID19 Vaccination Program, RCI No.2021-11-055, Check No.2303141, Check Date 10/28/21, DV No.87</t>
  </si>
  <si>
    <t>Golden Solutions Consumer Goods Trading-payment for alcohol and cotton balls to be used for COVID19 Vaccination Program, RCI No.2021-11-0061, Check No.2303153, Check Date 11/23/21, DV No.99</t>
  </si>
  <si>
    <t>as of December 31, 2021</t>
  </si>
  <si>
    <t>Acting-City Accountant</t>
  </si>
  <si>
    <t>Acting City Accountant</t>
  </si>
  <si>
    <t>as of April 30, 2022</t>
  </si>
  <si>
    <t>as of May 31, 2022</t>
  </si>
  <si>
    <t>as of June 30, 2022</t>
  </si>
  <si>
    <t>Donations</t>
  </si>
  <si>
    <t>as of January 31, 2022</t>
  </si>
  <si>
    <t>as of February 28, 2022</t>
  </si>
  <si>
    <t>as of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</si>
</sst>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d\-mmm\-yy;@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43" fontId="0" fillId="0" borderId="0" xfId="1" applyFont="1"/>
    <xf numFmtId="43" fontId="3" fillId="0" borderId="0" xfId="1" applyFont="1" applyAlignment="1">
      <alignment horizontal="right"/>
    </xf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3" fontId="0" fillId="0" borderId="2" xfId="1" applyFont="1" applyBorder="1"/>
    <xf numFmtId="43" fontId="0" fillId="0" borderId="0" xfId="1" applyFont="1" applyAlignment="1">
      <alignment horizontal="center"/>
    </xf>
    <xf numFmtId="0" fontId="5" fillId="0" borderId="0" xfId="0" applyFont="1"/>
    <xf numFmtId="43" fontId="4" fillId="0" borderId="1" xfId="1" applyFont="1" applyFill="1" applyBorder="1" applyAlignment="1">
      <alignment vertical="center"/>
    </xf>
    <xf numFmtId="43" fontId="0" fillId="0" borderId="3" xfId="0" applyNumberFormat="1" applyBorder="1" applyAlignment="1">
      <alignment vertical="center"/>
    </xf>
    <xf numFmtId="43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vertical="center"/>
    </xf>
    <xf numFmtId="43" fontId="0" fillId="0" borderId="5" xfId="0" applyNumberFormat="1" applyFont="1" applyBorder="1" applyAlignment="1">
      <alignment vertical="center"/>
    </xf>
    <xf numFmtId="43" fontId="0" fillId="0" borderId="1" xfId="0" applyNumberFormat="1" applyFont="1" applyBorder="1" applyAlignment="1">
      <alignment vertical="center"/>
    </xf>
    <xf numFmtId="43" fontId="0" fillId="0" borderId="3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3" fontId="6" fillId="0" borderId="3" xfId="0" applyNumberFormat="1" applyFont="1" applyBorder="1" applyAlignment="1">
      <alignment vertical="center"/>
    </xf>
    <xf numFmtId="43" fontId="6" fillId="0" borderId="4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43" fontId="6" fillId="0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0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64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1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1" fontId="8" fillId="0" borderId="5" xfId="0" applyNumberFormat="1" applyFont="1" applyBorder="1" applyAlignment="1">
      <alignment horizontal="center"/>
    </xf>
    <xf numFmtId="43" fontId="8" fillId="0" borderId="1" xfId="0" applyNumberFormat="1" applyFont="1" applyBorder="1"/>
    <xf numFmtId="43" fontId="8" fillId="0" borderId="4" xfId="0" applyNumberFormat="1" applyFont="1" applyBorder="1"/>
    <xf numFmtId="43" fontId="4" fillId="0" borderId="1" xfId="1" applyFont="1" applyBorder="1" applyAlignment="1"/>
    <xf numFmtId="43" fontId="0" fillId="0" borderId="0" xfId="1" applyFont="1" applyAlignment="1">
      <alignment horizontal="left" wrapText="1"/>
    </xf>
    <xf numFmtId="43" fontId="0" fillId="0" borderId="0" xfId="1" applyFont="1" applyAlignment="1"/>
    <xf numFmtId="43" fontId="7" fillId="0" borderId="0" xfId="1" applyFont="1" applyAlignment="1">
      <alignment horizontal="right"/>
    </xf>
    <xf numFmtId="43" fontId="9" fillId="0" borderId="0" xfId="1" applyFont="1" applyAlignment="1"/>
    <xf numFmtId="43" fontId="7" fillId="0" borderId="8" xfId="1" applyFont="1" applyBorder="1" applyAlignment="1"/>
    <xf numFmtId="43" fontId="8" fillId="0" borderId="3" xfId="0" applyNumberFormat="1" applyFont="1" applyBorder="1"/>
    <xf numFmtId="43" fontId="8" fillId="0" borderId="5" xfId="0" applyNumberFormat="1" applyFont="1" applyBorder="1"/>
    <xf numFmtId="43" fontId="8" fillId="0" borderId="1" xfId="1" applyFont="1" applyBorder="1" applyAlignment="1"/>
    <xf numFmtId="164" fontId="8" fillId="0" borderId="3" xfId="0" applyNumberFormat="1" applyFont="1" applyBorder="1" applyAlignment="1">
      <alignment wrapText="1"/>
    </xf>
    <xf numFmtId="164" fontId="8" fillId="0" borderId="5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43" fontId="10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left" wrapText="1"/>
    </xf>
    <xf numFmtId="43" fontId="7" fillId="0" borderId="7" xfId="1" applyFont="1" applyBorder="1" applyAlignment="1">
      <alignment horizontal="left" wrapText="1"/>
    </xf>
    <xf numFmtId="43" fontId="7" fillId="0" borderId="3" xfId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43" fontId="4" fillId="0" borderId="1" xfId="1" applyFont="1" applyBorder="1" applyAlignment="1">
      <alignment horizontal="left"/>
    </xf>
    <xf numFmtId="43" fontId="7" fillId="0" borderId="6" xfId="0" applyNumberFormat="1" applyFont="1" applyBorder="1" applyAlignment="1">
      <alignment horizontal="left" wrapText="1"/>
    </xf>
    <xf numFmtId="43" fontId="7" fillId="0" borderId="7" xfId="0" applyNumberFormat="1" applyFont="1" applyBorder="1" applyAlignment="1">
      <alignment horizontal="left" wrapText="1"/>
    </xf>
    <xf numFmtId="43" fontId="7" fillId="0" borderId="3" xfId="0" applyNumberFormat="1" applyFont="1" applyBorder="1" applyAlignment="1">
      <alignment horizontal="left" wrapText="1"/>
    </xf>
    <xf numFmtId="43" fontId="0" fillId="0" borderId="1" xfId="0" applyNumberFormat="1" applyBorder="1" applyAlignment="1">
      <alignment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J%20FILES/SL%20GL/2022/GL-TRUST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1-01-010"/>
      <sheetName val="1-01-02-010"/>
      <sheetName val="1-03-03-010"/>
      <sheetName val="1-03-03-020"/>
      <sheetName val="1-03-04-050"/>
      <sheetName val="1-03-05-020"/>
      <sheetName val="1-03-05-030"/>
      <sheetName val="1-03-05-040"/>
      <sheetName val="1-03-06-990"/>
      <sheetName val="1-05-01-010"/>
      <sheetName val="2-02-01-010"/>
      <sheetName val="2-02-01-050"/>
      <sheetName val="2-02-01-060"/>
      <sheetName val="2-02-01-070"/>
      <sheetName val="2-03-01-010"/>
      <sheetName val="2-04-01-010"/>
      <sheetName val="2-04-01-020"/>
      <sheetName val="2-99-99-9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5">
          <cell r="F15">
            <v>37123965.82</v>
          </cell>
        </row>
        <row r="18">
          <cell r="F18">
            <v>35096082.399999999</v>
          </cell>
        </row>
        <row r="22">
          <cell r="F22">
            <v>35880363.93</v>
          </cell>
        </row>
        <row r="24">
          <cell r="F24">
            <v>35428797.93</v>
          </cell>
        </row>
        <row r="27">
          <cell r="F27">
            <v>37285297.93</v>
          </cell>
        </row>
        <row r="30">
          <cell r="F30">
            <v>23630623.039999999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1FF4-FCEC-4024-B097-397C08739789}">
  <sheetPr>
    <tabColor rgb="FF00B0F0"/>
  </sheetPr>
  <dimension ref="A1:M35"/>
  <sheetViews>
    <sheetView tabSelected="1" zoomScaleNormal="100" workbookViewId="0">
      <pane ySplit="9" topLeftCell="A22" activePane="bottomLeft" state="frozen"/>
      <selection activeCell="F29" sqref="F29"/>
      <selection pane="bottomLeft" activeCell="C9" sqref="C9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84</v>
      </c>
      <c r="B4" s="94"/>
      <c r="C4" s="94"/>
      <c r="D4" s="94"/>
      <c r="E4" s="94"/>
      <c r="F4" s="94"/>
      <c r="G4" s="94"/>
    </row>
    <row r="5" spans="1:7" s="3" customFormat="1" x14ac:dyDescent="0.2">
      <c r="A5" s="91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92" t="s">
        <v>10</v>
      </c>
      <c r="C9" s="92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105">
        <v>6406829.6600000001</v>
      </c>
      <c r="C13" s="18">
        <v>22617136.23</v>
      </c>
      <c r="D13" s="20">
        <v>3650451.62</v>
      </c>
      <c r="E13" s="18"/>
      <c r="F13" s="18">
        <v>4374548.3099999996</v>
      </c>
      <c r="G13" s="8">
        <f t="shared" si="0"/>
        <v>37048965.82</v>
      </c>
    </row>
    <row r="14" spans="1:7" s="9" customFormat="1" ht="26.25" customHeight="1" x14ac:dyDescent="0.2">
      <c r="A14" s="7" t="s">
        <v>16</v>
      </c>
      <c r="B14" s="38"/>
      <c r="C14" s="39">
        <f>540891.53+2000000</f>
        <v>2540891.5300000003</v>
      </c>
      <c r="D14" s="21"/>
      <c r="E14" s="21"/>
      <c r="F14" s="22">
        <f>220000+52500+479066-451566</f>
        <v>300000</v>
      </c>
      <c r="G14" s="8">
        <f t="shared" si="0"/>
        <v>2840891.5300000003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25158027.760000002</v>
      </c>
      <c r="D15" s="11">
        <f t="shared" si="1"/>
        <v>3650451.62</v>
      </c>
      <c r="E15" s="11">
        <f t="shared" si="1"/>
        <v>0</v>
      </c>
      <c r="F15" s="11">
        <f t="shared" si="1"/>
        <v>4674548.3099999996</v>
      </c>
      <c r="G15" s="11">
        <f t="shared" si="1"/>
        <v>39889857.350000001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4" si="2">SUM(B17:F17)</f>
        <v>0</v>
      </c>
    </row>
    <row r="18" spans="1:13" s="9" customFormat="1" ht="26.25" customHeight="1" x14ac:dyDescent="0.2">
      <c r="A18" s="13" t="s">
        <v>20</v>
      </c>
      <c r="B18" s="24"/>
      <c r="C18" s="19">
        <f>145000+25830</f>
        <v>170830</v>
      </c>
      <c r="D18" s="27"/>
      <c r="E18" s="27"/>
      <c r="F18" s="27"/>
      <c r="G18" s="8">
        <f t="shared" si="2"/>
        <v>170830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93"/>
      <c r="D19" s="27">
        <v>1990538.42</v>
      </c>
      <c r="E19" s="27"/>
      <c r="F19" s="27"/>
      <c r="G19" s="8">
        <f t="shared" si="2"/>
        <v>1990538.42</v>
      </c>
    </row>
    <row r="20" spans="1:13" s="9" customFormat="1" ht="26.25" customHeight="1" x14ac:dyDescent="0.2">
      <c r="A20" s="7" t="s">
        <v>29</v>
      </c>
      <c r="B20" s="24"/>
      <c r="C20" s="93">
        <v>7798325.6799999997</v>
      </c>
      <c r="D20" s="27"/>
      <c r="E20" s="27"/>
      <c r="F20" s="27"/>
      <c r="G20" s="8">
        <f t="shared" si="2"/>
        <v>7798325.6799999997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85</v>
      </c>
      <c r="B23" s="24">
        <v>100000</v>
      </c>
      <c r="C23" s="26"/>
      <c r="D23" s="27"/>
      <c r="E23" s="27"/>
      <c r="F23" s="30"/>
      <c r="G23" s="8">
        <f t="shared" si="2"/>
        <v>100000</v>
      </c>
    </row>
    <row r="24" spans="1:13" s="9" customFormat="1" ht="26.25" customHeight="1" x14ac:dyDescent="0.2">
      <c r="A24" s="7" t="s">
        <v>44</v>
      </c>
      <c r="B24" s="24"/>
      <c r="C24" s="26"/>
      <c r="D24" s="27">
        <v>1659913.2</v>
      </c>
      <c r="E24" s="27"/>
      <c r="F24" s="30">
        <f>89845+4070606.01</f>
        <v>4160451.01</v>
      </c>
      <c r="G24" s="8">
        <f t="shared" si="2"/>
        <v>5820364.21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220000+15676+143500</f>
        <v>379176</v>
      </c>
      <c r="G25" s="8">
        <f t="shared" si="0"/>
        <v>379176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100000</v>
      </c>
      <c r="C26" s="17">
        <f t="shared" si="3"/>
        <v>7969155.6799999997</v>
      </c>
      <c r="D26" s="11">
        <f t="shared" si="3"/>
        <v>3650451.62</v>
      </c>
      <c r="E26" s="11">
        <f t="shared" si="3"/>
        <v>0</v>
      </c>
      <c r="F26" s="11">
        <f t="shared" si="3"/>
        <v>4539627.01</v>
      </c>
      <c r="G26" s="11">
        <f t="shared" si="3"/>
        <v>16259234.309999999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6306829.6600000001</v>
      </c>
      <c r="C27" s="37">
        <f>+C15-C26</f>
        <v>17188872.080000002</v>
      </c>
      <c r="D27" s="37">
        <f t="shared" ref="D27:F27" si="5">+D15-D26</f>
        <v>0</v>
      </c>
      <c r="E27" s="37">
        <f t="shared" si="5"/>
        <v>0</v>
      </c>
      <c r="F27" s="37">
        <f t="shared" si="5"/>
        <v>134921.29999999981</v>
      </c>
      <c r="G27" s="11">
        <f t="shared" si="4"/>
        <v>23630623.040000003</v>
      </c>
    </row>
    <row r="28" spans="1:13" x14ac:dyDescent="0.2">
      <c r="G28" s="1">
        <f>+G27-'[1]2-04-01-020'!$F$30</f>
        <v>0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81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1.24" right="0.38" top="0.38" bottom="0.23" header="0.3" footer="0.3"/>
  <pageSetup scale="80" orientation="landscape" horizontalDpi="4294967294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2D4B-61B9-4CED-A9A2-4744DEBCF2B0}">
  <sheetPr>
    <tabColor rgb="FFFFC000"/>
  </sheetPr>
  <dimension ref="A1:M35"/>
  <sheetViews>
    <sheetView zoomScaleNormal="100" workbookViewId="0">
      <pane ySplit="9" topLeftCell="A10" activePane="bottomLeft" state="frozen"/>
      <selection activeCell="G27" sqref="G27"/>
      <selection pane="bottomLeft" activeCell="B13" sqref="B13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49</v>
      </c>
      <c r="B4" s="94"/>
      <c r="C4" s="94"/>
      <c r="D4" s="94"/>
      <c r="E4" s="94"/>
      <c r="F4" s="94"/>
      <c r="G4" s="94"/>
    </row>
    <row r="5" spans="1:7" s="3" customFormat="1" x14ac:dyDescent="0.2">
      <c r="A5" s="56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57" t="s">
        <v>10</v>
      </c>
      <c r="C9" s="57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f>10410533+10255089</f>
        <v>20665622</v>
      </c>
      <c r="E14" s="21"/>
      <c r="F14" s="22">
        <f>1344712+152500+213500+195000+450000+572500+472500+432500+537500+620000+392500+157500</f>
        <v>5540712</v>
      </c>
      <c r="G14" s="8">
        <f t="shared" si="0"/>
        <v>26471794</v>
      </c>
    </row>
    <row r="15" spans="1:7" s="12" customFormat="1" ht="26.25" customHeight="1" x14ac:dyDescent="0.2">
      <c r="A15" s="10" t="s">
        <v>17</v>
      </c>
      <c r="B15" s="11">
        <f>SUM(B10:B14)</f>
        <v>3408832.07</v>
      </c>
      <c r="C15" s="11">
        <f t="shared" ref="C15:G15" si="1">SUM(C10:C14)</f>
        <v>741853</v>
      </c>
      <c r="D15" s="11">
        <f t="shared" si="1"/>
        <v>20665622</v>
      </c>
      <c r="E15" s="11">
        <f t="shared" si="1"/>
        <v>0</v>
      </c>
      <c r="F15" s="11">
        <f t="shared" si="1"/>
        <v>5540712</v>
      </c>
      <c r="G15" s="11">
        <f t="shared" si="1"/>
        <v>30357019.07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20835+17475</f>
        <v>38310</v>
      </c>
      <c r="D17" s="25"/>
      <c r="E17" s="25"/>
      <c r="F17" s="25"/>
      <c r="G17" s="8">
        <f t="shared" ref="G17:G24" si="2">SUM(B17:F17)</f>
        <v>38310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220000+14900+9995+29800</f>
        <v>274695</v>
      </c>
      <c r="G18" s="8">
        <f t="shared" si="2"/>
        <v>274695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f>3690995.23+2989076.99+2385859.56+4987298.71+1246613.67</f>
        <v>15299844.160000002</v>
      </c>
      <c r="E19" s="27"/>
      <c r="F19" s="27"/>
      <c r="G19" s="8">
        <f t="shared" si="2"/>
        <v>15299844.160000002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>
        <v>370725</v>
      </c>
      <c r="E22" s="27"/>
      <c r="F22" s="27"/>
      <c r="G22" s="8">
        <f t="shared" si="2"/>
        <v>370725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1815+4860+14480+11900+48626+480</f>
        <v>82161</v>
      </c>
      <c r="G24" s="8">
        <f t="shared" si="2"/>
        <v>82161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14580+159000+295595+37250+25502.69+350630+385000+39688.5</f>
        <v>1307246.19</v>
      </c>
      <c r="G25" s="8">
        <f t="shared" si="0"/>
        <v>1307246.19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38310</v>
      </c>
      <c r="D26" s="11">
        <f t="shared" si="3"/>
        <v>15670569.160000002</v>
      </c>
      <c r="E26" s="11">
        <f t="shared" si="3"/>
        <v>0</v>
      </c>
      <c r="F26" s="11">
        <f t="shared" si="3"/>
        <v>1664102.19</v>
      </c>
      <c r="G26" s="11">
        <f t="shared" si="3"/>
        <v>17372981.350000001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3408832.07</v>
      </c>
      <c r="C27" s="37">
        <f>+C15-C26</f>
        <v>703543</v>
      </c>
      <c r="D27" s="37">
        <f t="shared" ref="D27:F27" si="5">+D15-D26</f>
        <v>4995052.839999998</v>
      </c>
      <c r="E27" s="37">
        <f t="shared" si="5"/>
        <v>0</v>
      </c>
      <c r="F27" s="37">
        <f t="shared" si="5"/>
        <v>3876609.81</v>
      </c>
      <c r="G27" s="11">
        <f t="shared" si="4"/>
        <v>12984037.719999999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51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8855-22A2-44BA-9551-45B9A2801E84}">
  <sheetPr>
    <tabColor rgb="FFFFFF00"/>
  </sheetPr>
  <dimension ref="A1:M35"/>
  <sheetViews>
    <sheetView topLeftCell="B1" zoomScaleNormal="100" workbookViewId="0">
      <pane ySplit="9" topLeftCell="A13" activePane="bottomLeft" state="frozen"/>
      <selection activeCell="E34" sqref="E34"/>
      <selection pane="bottomLeft" activeCell="C25" sqref="C25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48</v>
      </c>
      <c r="B4" s="94"/>
      <c r="C4" s="94"/>
      <c r="D4" s="94"/>
      <c r="E4" s="94"/>
      <c r="F4" s="94"/>
      <c r="G4" s="94"/>
    </row>
    <row r="5" spans="1:7" s="3" customFormat="1" x14ac:dyDescent="0.2">
      <c r="A5" s="52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53" t="s">
        <v>10</v>
      </c>
      <c r="C9" s="53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v>10410533</v>
      </c>
      <c r="E14" s="21"/>
      <c r="F14" s="22">
        <f>1344712+152500+213500+195000+450000+572500+472500+432500+537500+620000+392500</f>
        <v>5383212</v>
      </c>
      <c r="G14" s="8">
        <f t="shared" si="0"/>
        <v>16059205</v>
      </c>
    </row>
    <row r="15" spans="1:7" s="12" customFormat="1" ht="26.25" customHeight="1" x14ac:dyDescent="0.2">
      <c r="A15" s="10" t="s">
        <v>17</v>
      </c>
      <c r="B15" s="11">
        <f>SUM(B10:B14)</f>
        <v>3408832.07</v>
      </c>
      <c r="C15" s="11">
        <f t="shared" ref="C15:G15" si="1">SUM(C10:C14)</f>
        <v>741853</v>
      </c>
      <c r="D15" s="11">
        <f t="shared" si="1"/>
        <v>10410533</v>
      </c>
      <c r="E15" s="11">
        <f t="shared" si="1"/>
        <v>0</v>
      </c>
      <c r="F15" s="11">
        <f t="shared" si="1"/>
        <v>5383212</v>
      </c>
      <c r="G15" s="11">
        <f t="shared" si="1"/>
        <v>19944430.07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20835+17475</f>
        <v>38310</v>
      </c>
      <c r="D17" s="25"/>
      <c r="E17" s="25"/>
      <c r="F17" s="25"/>
      <c r="G17" s="8">
        <f t="shared" ref="G17:G24" si="2">SUM(B17:F17)</f>
        <v>38310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220000+14900+9995</f>
        <v>244895</v>
      </c>
      <c r="G18" s="8">
        <f t="shared" si="2"/>
        <v>244895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f>3690995.23+2989076.99</f>
        <v>6680072.2200000007</v>
      </c>
      <c r="E19" s="27"/>
      <c r="F19" s="27"/>
      <c r="G19" s="8">
        <f t="shared" si="2"/>
        <v>6680072.2200000007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1815+4860+14480+11900+48626</f>
        <v>81681</v>
      </c>
      <c r="G24" s="8">
        <f t="shared" si="2"/>
        <v>81681</v>
      </c>
    </row>
    <row r="25" spans="1:13" s="9" customFormat="1" ht="26.25" customHeight="1" x14ac:dyDescent="0.2">
      <c r="A25" s="7" t="s">
        <v>40</v>
      </c>
      <c r="B25" s="24"/>
      <c r="C25" s="26">
        <v>37250</v>
      </c>
      <c r="D25" s="27"/>
      <c r="E25" s="27"/>
      <c r="F25" s="27">
        <f>14580+159000+295595</f>
        <v>469175</v>
      </c>
      <c r="G25" s="8">
        <f t="shared" si="0"/>
        <v>506425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75560</v>
      </c>
      <c r="D26" s="11">
        <f t="shared" si="3"/>
        <v>6680072.2200000007</v>
      </c>
      <c r="E26" s="11">
        <f t="shared" si="3"/>
        <v>0</v>
      </c>
      <c r="F26" s="11">
        <f t="shared" si="3"/>
        <v>795751</v>
      </c>
      <c r="G26" s="11">
        <f t="shared" si="3"/>
        <v>7551383.2200000007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3408832.07</v>
      </c>
      <c r="C27" s="37">
        <f>+C15-C26</f>
        <v>666293</v>
      </c>
      <c r="D27" s="37">
        <f t="shared" ref="D27:F27" si="5">+D15-D26</f>
        <v>3730460.7799999993</v>
      </c>
      <c r="E27" s="37">
        <f t="shared" si="5"/>
        <v>0</v>
      </c>
      <c r="F27" s="37">
        <f t="shared" si="5"/>
        <v>4587461</v>
      </c>
      <c r="G27" s="11">
        <f t="shared" si="4"/>
        <v>12393046.85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27</v>
      </c>
    </row>
    <row r="33" spans="1:13" x14ac:dyDescent="0.2">
      <c r="B33" s="15" t="s">
        <v>33</v>
      </c>
      <c r="E33" s="15" t="s">
        <v>80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EF9E-9992-4BD6-B470-7E7F8A38940F}">
  <sheetPr>
    <tabColor rgb="FFFFFF00"/>
  </sheetPr>
  <dimension ref="A1:M35"/>
  <sheetViews>
    <sheetView zoomScaleNormal="100" workbookViewId="0">
      <pane ySplit="9" topLeftCell="A13" activePane="bottomLeft" state="frozen"/>
      <selection activeCell="G27" sqref="G27"/>
      <selection pane="bottomLeft" activeCell="G28" sqref="G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47</v>
      </c>
      <c r="B4" s="94"/>
      <c r="C4" s="94"/>
      <c r="D4" s="94"/>
      <c r="E4" s="94"/>
      <c r="F4" s="94"/>
      <c r="G4" s="94"/>
    </row>
    <row r="5" spans="1:7" s="3" customFormat="1" x14ac:dyDescent="0.2">
      <c r="A5" s="50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51" t="s">
        <v>10</v>
      </c>
      <c r="C9" s="51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v>10410533</v>
      </c>
      <c r="E14" s="21"/>
      <c r="F14" s="22">
        <f>1344712+152500+213500+195000+450000+572500+472500+432500+537500+620000</f>
        <v>4990712</v>
      </c>
      <c r="G14" s="8">
        <f t="shared" si="0"/>
        <v>15666705</v>
      </c>
    </row>
    <row r="15" spans="1:7" s="12" customFormat="1" ht="26.25" customHeight="1" x14ac:dyDescent="0.2">
      <c r="A15" s="10" t="s">
        <v>17</v>
      </c>
      <c r="B15" s="11">
        <f>SUM(B10:B14)</f>
        <v>3408832.07</v>
      </c>
      <c r="C15" s="11">
        <f t="shared" ref="C15:G15" si="1">SUM(C10:C14)</f>
        <v>741853</v>
      </c>
      <c r="D15" s="11">
        <f t="shared" si="1"/>
        <v>10410533</v>
      </c>
      <c r="E15" s="11">
        <f t="shared" si="1"/>
        <v>0</v>
      </c>
      <c r="F15" s="11">
        <f t="shared" si="1"/>
        <v>4990712</v>
      </c>
      <c r="G15" s="11">
        <f t="shared" si="1"/>
        <v>19551930.07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20835+17475</f>
        <v>38310</v>
      </c>
      <c r="D17" s="25"/>
      <c r="E17" s="25"/>
      <c r="F17" s="25"/>
      <c r="G17" s="8">
        <f t="shared" ref="G17:G24" si="2">SUM(B17:F17)</f>
        <v>38310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220000+14900+9995</f>
        <v>244895</v>
      </c>
      <c r="G18" s="8">
        <f t="shared" si="2"/>
        <v>244895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v>3690995.23</v>
      </c>
      <c r="E19" s="27"/>
      <c r="F19" s="27"/>
      <c r="G19" s="8">
        <f t="shared" si="2"/>
        <v>3690995.23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1815+4860+14480+11900+48626</f>
        <v>81681</v>
      </c>
      <c r="G24" s="8">
        <f t="shared" si="2"/>
        <v>81681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14580+159000+295595</f>
        <v>469175</v>
      </c>
      <c r="G25" s="8">
        <f t="shared" si="0"/>
        <v>469175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38310</v>
      </c>
      <c r="D26" s="11">
        <f t="shared" si="3"/>
        <v>3690995.23</v>
      </c>
      <c r="E26" s="11">
        <f t="shared" si="3"/>
        <v>0</v>
      </c>
      <c r="F26" s="11">
        <f t="shared" si="3"/>
        <v>795751</v>
      </c>
      <c r="G26" s="11">
        <f t="shared" si="3"/>
        <v>4525056.2300000004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3408832.07</v>
      </c>
      <c r="C27" s="37">
        <f>+C15-C26</f>
        <v>703543</v>
      </c>
      <c r="D27" s="37">
        <f t="shared" ref="D27:F27" si="5">+D15-D26</f>
        <v>6719537.7699999996</v>
      </c>
      <c r="E27" s="37">
        <f t="shared" si="5"/>
        <v>0</v>
      </c>
      <c r="F27" s="37">
        <f t="shared" si="5"/>
        <v>4194961</v>
      </c>
      <c r="G27" s="11">
        <f t="shared" si="4"/>
        <v>15026873.84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27</v>
      </c>
    </row>
    <row r="33" spans="1:13" x14ac:dyDescent="0.2">
      <c r="B33" s="15" t="s">
        <v>33</v>
      </c>
      <c r="E33" s="15" t="s">
        <v>28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EE4E-8DB9-4459-B782-74B97B221426}">
  <sheetPr>
    <tabColor rgb="FFFFFF00"/>
  </sheetPr>
  <dimension ref="A1:M35"/>
  <sheetViews>
    <sheetView zoomScaleNormal="100" workbookViewId="0">
      <pane ySplit="9" topLeftCell="A17" activePane="bottomLeft" state="frozen"/>
      <selection activeCell="G27" sqref="G27"/>
      <selection pane="bottomLeft" activeCell="G27" sqref="G27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46</v>
      </c>
      <c r="B4" s="94"/>
      <c r="C4" s="94"/>
      <c r="D4" s="94"/>
      <c r="E4" s="94"/>
      <c r="F4" s="94"/>
      <c r="G4" s="94"/>
    </row>
    <row r="5" spans="1:7" s="3" customFormat="1" x14ac:dyDescent="0.2">
      <c r="A5" s="48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49" t="s">
        <v>10</v>
      </c>
      <c r="C9" s="49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v>10410533</v>
      </c>
      <c r="E14" s="21"/>
      <c r="F14" s="22">
        <f>1344712+152500+213500+195000+450000+572500+472500+432500+537500</f>
        <v>4370712</v>
      </c>
      <c r="G14" s="8">
        <f t="shared" si="0"/>
        <v>15046705</v>
      </c>
    </row>
    <row r="15" spans="1:7" s="12" customFormat="1" ht="26.25" customHeight="1" x14ac:dyDescent="0.2">
      <c r="A15" s="10" t="s">
        <v>17</v>
      </c>
      <c r="B15" s="11">
        <f>SUM(B10:B14)</f>
        <v>3408832.07</v>
      </c>
      <c r="C15" s="11">
        <f t="shared" ref="C15:G15" si="1">SUM(C10:C14)</f>
        <v>741853</v>
      </c>
      <c r="D15" s="11">
        <f t="shared" si="1"/>
        <v>10410533</v>
      </c>
      <c r="E15" s="11">
        <f t="shared" si="1"/>
        <v>0</v>
      </c>
      <c r="F15" s="11">
        <f t="shared" si="1"/>
        <v>4370712</v>
      </c>
      <c r="G15" s="11">
        <f t="shared" si="1"/>
        <v>18931930.07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20835+17475</f>
        <v>38310</v>
      </c>
      <c r="D17" s="25"/>
      <c r="E17" s="25"/>
      <c r="F17" s="25"/>
      <c r="G17" s="8">
        <f t="shared" ref="G17:G24" si="2">SUM(B17:F17)</f>
        <v>38310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220000+14900+9995</f>
        <v>244895</v>
      </c>
      <c r="G18" s="8">
        <f t="shared" si="2"/>
        <v>244895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v>3690995.23</v>
      </c>
      <c r="E19" s="27"/>
      <c r="F19" s="27"/>
      <c r="G19" s="8">
        <f t="shared" si="2"/>
        <v>3690995.23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1815+4860+14480</f>
        <v>21155</v>
      </c>
      <c r="G24" s="8">
        <f t="shared" si="2"/>
        <v>21155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14580+159000+295595</f>
        <v>469175</v>
      </c>
      <c r="G25" s="8">
        <f t="shared" si="0"/>
        <v>469175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38310</v>
      </c>
      <c r="D26" s="11">
        <f t="shared" si="3"/>
        <v>3690995.23</v>
      </c>
      <c r="E26" s="11">
        <f t="shared" si="3"/>
        <v>0</v>
      </c>
      <c r="F26" s="11">
        <f t="shared" si="3"/>
        <v>735225</v>
      </c>
      <c r="G26" s="11">
        <f t="shared" si="3"/>
        <v>4464530.2300000004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3408832.07</v>
      </c>
      <c r="C27" s="37">
        <f>+C15-C26</f>
        <v>703543</v>
      </c>
      <c r="D27" s="37">
        <f t="shared" ref="D27:F27" si="5">+D15-D26</f>
        <v>6719537.7699999996</v>
      </c>
      <c r="E27" s="37">
        <f t="shared" si="5"/>
        <v>0</v>
      </c>
      <c r="F27" s="37">
        <f t="shared" si="5"/>
        <v>3635487</v>
      </c>
      <c r="G27" s="11">
        <f t="shared" si="4"/>
        <v>14467399.84</v>
      </c>
    </row>
    <row r="28" spans="1:13" x14ac:dyDescent="0.2">
      <c r="G28" s="1">
        <f>+G27-14467399.84</f>
        <v>0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27</v>
      </c>
    </row>
    <row r="33" spans="1:13" x14ac:dyDescent="0.2">
      <c r="B33" s="15" t="s">
        <v>33</v>
      </c>
      <c r="E33" s="15" t="s">
        <v>28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9DB7-7B82-44D3-A0AD-842030D73B88}">
  <sheetPr>
    <tabColor rgb="FFFFFF00"/>
  </sheetPr>
  <dimension ref="A1:M35"/>
  <sheetViews>
    <sheetView zoomScaleNormal="100" workbookViewId="0">
      <pane ySplit="9" topLeftCell="A13" activePane="bottomLeft" state="frozen"/>
      <selection activeCell="G27" sqref="G27"/>
      <selection pane="bottomLeft" activeCell="G27" sqref="G27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45</v>
      </c>
      <c r="B4" s="94"/>
      <c r="C4" s="94"/>
      <c r="D4" s="94"/>
      <c r="E4" s="94"/>
      <c r="F4" s="94"/>
      <c r="G4" s="94"/>
    </row>
    <row r="5" spans="1:7" s="3" customFormat="1" x14ac:dyDescent="0.2">
      <c r="A5" s="46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47" t="s">
        <v>10</v>
      </c>
      <c r="C9" s="47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v>10410533</v>
      </c>
      <c r="E14" s="21"/>
      <c r="F14" s="22">
        <f>1344712+152500+213500+195000+450000+572500+472500+432500</f>
        <v>3833212</v>
      </c>
      <c r="G14" s="8">
        <f t="shared" si="0"/>
        <v>14509205</v>
      </c>
    </row>
    <row r="15" spans="1:7" s="12" customFormat="1" ht="26.25" customHeight="1" x14ac:dyDescent="0.2">
      <c r="A15" s="10" t="s">
        <v>17</v>
      </c>
      <c r="B15" s="11">
        <f>SUM(B10:B14)</f>
        <v>3408832.07</v>
      </c>
      <c r="C15" s="11">
        <f t="shared" ref="C15:G15" si="1">SUM(C10:C14)</f>
        <v>741853</v>
      </c>
      <c r="D15" s="11">
        <f t="shared" si="1"/>
        <v>10410533</v>
      </c>
      <c r="E15" s="11">
        <f t="shared" si="1"/>
        <v>0</v>
      </c>
      <c r="F15" s="11">
        <f t="shared" si="1"/>
        <v>3833212</v>
      </c>
      <c r="G15" s="11">
        <f t="shared" si="1"/>
        <v>18394430.07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v>20835</v>
      </c>
      <c r="D17" s="25"/>
      <c r="E17" s="25"/>
      <c r="F17" s="25"/>
      <c r="G17" s="8">
        <f t="shared" ref="G17:G24" si="2">SUM(B17:F17)</f>
        <v>20835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220000+14900+9995</f>
        <v>244895</v>
      </c>
      <c r="G18" s="8">
        <f t="shared" si="2"/>
        <v>244895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</f>
        <v>6675</v>
      </c>
      <c r="G24" s="8">
        <f t="shared" si="2"/>
        <v>6675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14580+159000</f>
        <v>173580</v>
      </c>
      <c r="G25" s="8">
        <f t="shared" si="0"/>
        <v>173580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20835</v>
      </c>
      <c r="D26" s="11">
        <f t="shared" si="3"/>
        <v>0</v>
      </c>
      <c r="E26" s="11">
        <f t="shared" si="3"/>
        <v>0</v>
      </c>
      <c r="F26" s="11">
        <f t="shared" si="3"/>
        <v>425150</v>
      </c>
      <c r="G26" s="11">
        <f t="shared" si="3"/>
        <v>445985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3408832.07</v>
      </c>
      <c r="C27" s="37">
        <f>+C15-C26</f>
        <v>721018</v>
      </c>
      <c r="D27" s="37">
        <f t="shared" ref="D27:F27" si="5">+D15-D26</f>
        <v>10410533</v>
      </c>
      <c r="E27" s="37">
        <f t="shared" si="5"/>
        <v>0</v>
      </c>
      <c r="F27" s="37">
        <f t="shared" si="5"/>
        <v>3408062</v>
      </c>
      <c r="G27" s="11">
        <f t="shared" si="4"/>
        <v>17948445.07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27</v>
      </c>
    </row>
    <row r="33" spans="1:13" x14ac:dyDescent="0.2">
      <c r="B33" s="15" t="s">
        <v>33</v>
      </c>
      <c r="E33" s="15" t="s">
        <v>28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3A45-0A44-4A75-BAC0-6FD47A8560DA}">
  <sheetPr>
    <tabColor rgb="FFFFFF00"/>
  </sheetPr>
  <dimension ref="A1:M35"/>
  <sheetViews>
    <sheetView zoomScaleNormal="100" workbookViewId="0">
      <pane ySplit="9" topLeftCell="A13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43</v>
      </c>
      <c r="B4" s="94"/>
      <c r="C4" s="94"/>
      <c r="D4" s="94"/>
      <c r="E4" s="94"/>
      <c r="F4" s="94"/>
      <c r="G4" s="94"/>
    </row>
    <row r="5" spans="1:7" s="3" customFormat="1" x14ac:dyDescent="0.2">
      <c r="A5" s="44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45" t="s">
        <v>10</v>
      </c>
      <c r="C9" s="45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/>
      <c r="C14" s="39"/>
      <c r="D14" s="21">
        <v>10410533</v>
      </c>
      <c r="E14" s="21"/>
      <c r="F14" s="22">
        <f>1344712+152500+213500+195000+450000+572500+472500</f>
        <v>3400712</v>
      </c>
      <c r="G14" s="8">
        <f t="shared" si="0"/>
        <v>13811245</v>
      </c>
    </row>
    <row r="15" spans="1:7" s="12" customFormat="1" ht="26.25" customHeight="1" x14ac:dyDescent="0.2">
      <c r="A15" s="10" t="s">
        <v>17</v>
      </c>
      <c r="B15" s="11">
        <f>SUM(B10:B14)</f>
        <v>3329194.07</v>
      </c>
      <c r="C15" s="11">
        <f t="shared" ref="C15:G15" si="1">SUM(C10:C14)</f>
        <v>556031</v>
      </c>
      <c r="D15" s="11">
        <f t="shared" si="1"/>
        <v>10410533</v>
      </c>
      <c r="E15" s="11">
        <f t="shared" si="1"/>
        <v>0</v>
      </c>
      <c r="F15" s="11">
        <f t="shared" si="1"/>
        <v>3400712</v>
      </c>
      <c r="G15" s="11">
        <f t="shared" si="1"/>
        <v>17696470.07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v>20835</v>
      </c>
      <c r="D17" s="25"/>
      <c r="E17" s="25"/>
      <c r="F17" s="25"/>
      <c r="G17" s="8">
        <f t="shared" ref="G17:G24" si="2">SUM(B17:F17)</f>
        <v>20835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</f>
        <v>234900</v>
      </c>
      <c r="G18" s="8">
        <f t="shared" si="2"/>
        <v>234900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</f>
        <v>6675</v>
      </c>
      <c r="G24" s="8">
        <f t="shared" si="2"/>
        <v>6675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14580+159000</f>
        <v>173580</v>
      </c>
      <c r="G25" s="8">
        <f t="shared" si="0"/>
        <v>173580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20835</v>
      </c>
      <c r="D26" s="11">
        <f t="shared" si="3"/>
        <v>0</v>
      </c>
      <c r="E26" s="11">
        <f t="shared" si="3"/>
        <v>0</v>
      </c>
      <c r="F26" s="11">
        <f t="shared" si="3"/>
        <v>415155</v>
      </c>
      <c r="G26" s="11">
        <f t="shared" si="3"/>
        <v>435990</v>
      </c>
    </row>
    <row r="27" spans="1:13" s="9" customFormat="1" ht="26.25" customHeight="1" x14ac:dyDescent="0.2">
      <c r="A27" s="10" t="s">
        <v>23</v>
      </c>
      <c r="B27" s="11">
        <f>+B15-B26</f>
        <v>3329194.07</v>
      </c>
      <c r="C27" s="11">
        <f t="shared" ref="C27:F27" si="4">+C15-C26</f>
        <v>535196</v>
      </c>
      <c r="D27" s="11">
        <f t="shared" si="4"/>
        <v>10410533</v>
      </c>
      <c r="E27" s="11">
        <f t="shared" si="4"/>
        <v>0</v>
      </c>
      <c r="F27" s="11">
        <f t="shared" si="4"/>
        <v>2985557</v>
      </c>
      <c r="G27" s="11">
        <f t="shared" ref="G27" si="5">+G15-G26</f>
        <v>17260480.07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27</v>
      </c>
    </row>
    <row r="33" spans="1:13" x14ac:dyDescent="0.2">
      <c r="B33" s="15" t="s">
        <v>33</v>
      </c>
      <c r="E33" s="15" t="s">
        <v>28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08D5-A843-423A-975A-FFF782F02E85}">
  <sheetPr>
    <tabColor rgb="FFFFFF00"/>
  </sheetPr>
  <dimension ref="A1:M34"/>
  <sheetViews>
    <sheetView zoomScaleNormal="100" workbookViewId="0">
      <pane ySplit="9" topLeftCell="A19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42</v>
      </c>
      <c r="B4" s="94"/>
      <c r="C4" s="94"/>
      <c r="D4" s="94"/>
      <c r="E4" s="94"/>
      <c r="F4" s="94"/>
      <c r="G4" s="94"/>
    </row>
    <row r="5" spans="1:7" s="3" customFormat="1" x14ac:dyDescent="0.2">
      <c r="A5" s="42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43" t="s">
        <v>10</v>
      </c>
      <c r="C9" s="43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/>
      <c r="C14" s="39"/>
      <c r="D14" s="21">
        <v>10410533</v>
      </c>
      <c r="E14" s="21"/>
      <c r="F14" s="22">
        <f>1344712+152500+213500+195000+450000+572500</f>
        <v>2928212</v>
      </c>
      <c r="G14" s="8">
        <f t="shared" si="0"/>
        <v>13338745</v>
      </c>
    </row>
    <row r="15" spans="1:7" s="12" customFormat="1" ht="26.25" customHeight="1" x14ac:dyDescent="0.2">
      <c r="A15" s="10" t="s">
        <v>17</v>
      </c>
      <c r="B15" s="11">
        <f>SUM(B10:B14)</f>
        <v>3329194.07</v>
      </c>
      <c r="C15" s="11">
        <f t="shared" ref="C15:G15" si="1">SUM(C10:C14)</f>
        <v>556031</v>
      </c>
      <c r="D15" s="11">
        <f t="shared" si="1"/>
        <v>10410533</v>
      </c>
      <c r="E15" s="11">
        <f t="shared" si="1"/>
        <v>0</v>
      </c>
      <c r="F15" s="11">
        <f t="shared" si="1"/>
        <v>2928212</v>
      </c>
      <c r="G15" s="11">
        <f t="shared" si="1"/>
        <v>17223970.07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v>20835</v>
      </c>
      <c r="D17" s="25"/>
      <c r="E17" s="25"/>
      <c r="F17" s="25"/>
      <c r="G17" s="8">
        <f t="shared" ref="G17:G23" si="2">SUM(B17:F17)</f>
        <v>20835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v>220000</v>
      </c>
      <c r="G18" s="8">
        <f t="shared" si="2"/>
        <v>220000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40</v>
      </c>
      <c r="B24" s="24"/>
      <c r="C24" s="26"/>
      <c r="D24" s="27"/>
      <c r="E24" s="27"/>
      <c r="F24" s="27">
        <f>14580+159000</f>
        <v>173580</v>
      </c>
      <c r="G24" s="8">
        <f t="shared" si="0"/>
        <v>173580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0</v>
      </c>
      <c r="C25" s="17">
        <f t="shared" si="3"/>
        <v>20835</v>
      </c>
      <c r="D25" s="11">
        <f t="shared" si="3"/>
        <v>0</v>
      </c>
      <c r="E25" s="11">
        <f t="shared" si="3"/>
        <v>0</v>
      </c>
      <c r="F25" s="11">
        <f t="shared" si="3"/>
        <v>393580</v>
      </c>
      <c r="G25" s="11">
        <f t="shared" si="3"/>
        <v>414415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</v>
      </c>
      <c r="C26" s="11">
        <f t="shared" si="4"/>
        <v>535196</v>
      </c>
      <c r="D26" s="11">
        <f t="shared" si="4"/>
        <v>10410533</v>
      </c>
      <c r="E26" s="11">
        <f t="shared" si="4"/>
        <v>0</v>
      </c>
      <c r="F26" s="11">
        <f t="shared" si="4"/>
        <v>2534632</v>
      </c>
      <c r="G26" s="11">
        <f t="shared" si="4"/>
        <v>16809555.07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34"/>
  <sheetViews>
    <sheetView zoomScaleNormal="100" workbookViewId="0">
      <pane ySplit="9" topLeftCell="A13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41</v>
      </c>
      <c r="B4" s="94"/>
      <c r="C4" s="94"/>
      <c r="D4" s="94"/>
      <c r="E4" s="94"/>
      <c r="F4" s="94"/>
      <c r="G4" s="94"/>
    </row>
    <row r="5" spans="1:7" s="3" customFormat="1" x14ac:dyDescent="0.2">
      <c r="A5" s="40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41" t="s">
        <v>10</v>
      </c>
      <c r="C9" s="41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/>
      <c r="C14" s="39"/>
      <c r="D14" s="21">
        <v>10410533</v>
      </c>
      <c r="E14" s="21"/>
      <c r="F14" s="22">
        <f>1344712+152500+213500+195000+450000</f>
        <v>2355712</v>
      </c>
      <c r="G14" s="8">
        <f t="shared" si="0"/>
        <v>12766245</v>
      </c>
    </row>
    <row r="15" spans="1:7" s="12" customFormat="1" ht="26.25" customHeight="1" x14ac:dyDescent="0.2">
      <c r="A15" s="10" t="s">
        <v>17</v>
      </c>
      <c r="B15" s="11">
        <f>SUM(B10:B14)</f>
        <v>3329194.07</v>
      </c>
      <c r="C15" s="11">
        <f t="shared" ref="C15:G15" si="1">SUM(C10:C14)</f>
        <v>556031</v>
      </c>
      <c r="D15" s="11">
        <f t="shared" si="1"/>
        <v>10410533</v>
      </c>
      <c r="E15" s="11">
        <f t="shared" si="1"/>
        <v>0</v>
      </c>
      <c r="F15" s="11">
        <f t="shared" si="1"/>
        <v>2355712</v>
      </c>
      <c r="G15" s="11">
        <f t="shared" si="1"/>
        <v>16651470.07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3" si="2">SUM(B17:F17)</f>
        <v>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v>220000</v>
      </c>
      <c r="G18" s="8">
        <f t="shared" si="2"/>
        <v>220000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40</v>
      </c>
      <c r="B24" s="24"/>
      <c r="C24" s="26"/>
      <c r="D24" s="27"/>
      <c r="E24" s="27"/>
      <c r="F24" s="27">
        <f>14580+159000</f>
        <v>173580</v>
      </c>
      <c r="G24" s="8">
        <f t="shared" si="0"/>
        <v>173580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0</v>
      </c>
      <c r="C25" s="17">
        <f t="shared" si="3"/>
        <v>0</v>
      </c>
      <c r="D25" s="11">
        <f t="shared" si="3"/>
        <v>0</v>
      </c>
      <c r="E25" s="11">
        <f t="shared" si="3"/>
        <v>0</v>
      </c>
      <c r="F25" s="11">
        <f t="shared" si="3"/>
        <v>393580</v>
      </c>
      <c r="G25" s="11">
        <f t="shared" si="3"/>
        <v>393580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</v>
      </c>
      <c r="C26" s="11">
        <f t="shared" si="4"/>
        <v>556031</v>
      </c>
      <c r="D26" s="11">
        <f t="shared" si="4"/>
        <v>10410533</v>
      </c>
      <c r="E26" s="11">
        <f t="shared" si="4"/>
        <v>0</v>
      </c>
      <c r="F26" s="11">
        <f t="shared" si="4"/>
        <v>1962132</v>
      </c>
      <c r="G26" s="11">
        <f t="shared" si="4"/>
        <v>16257890.07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34"/>
  <sheetViews>
    <sheetView zoomScaleNormal="100" workbookViewId="0">
      <pane ySplit="9" topLeftCell="A13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39</v>
      </c>
      <c r="B4" s="94"/>
      <c r="C4" s="94"/>
      <c r="D4" s="94"/>
      <c r="E4" s="94"/>
      <c r="F4" s="94"/>
      <c r="G4" s="94"/>
    </row>
    <row r="5" spans="1:7" s="3" customFormat="1" x14ac:dyDescent="0.2">
      <c r="A5" s="35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36" t="s">
        <v>10</v>
      </c>
      <c r="C9" s="36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/>
      <c r="C14" s="39"/>
      <c r="D14" s="21">
        <v>10410533</v>
      </c>
      <c r="E14" s="21"/>
      <c r="F14" s="22">
        <f>1344712+152500+213500+195000</f>
        <v>1905712</v>
      </c>
      <c r="G14" s="8">
        <f t="shared" si="0"/>
        <v>12316245</v>
      </c>
    </row>
    <row r="15" spans="1:7" s="12" customFormat="1" ht="26.25" customHeight="1" x14ac:dyDescent="0.2">
      <c r="A15" s="10" t="s">
        <v>17</v>
      </c>
      <c r="B15" s="11">
        <f>SUM(B10:B14)</f>
        <v>3329194.07</v>
      </c>
      <c r="C15" s="11">
        <f t="shared" ref="C15:G15" si="1">SUM(C10:C14)</f>
        <v>556031</v>
      </c>
      <c r="D15" s="11">
        <f t="shared" si="1"/>
        <v>10410533</v>
      </c>
      <c r="E15" s="11">
        <f t="shared" si="1"/>
        <v>0</v>
      </c>
      <c r="F15" s="11">
        <f t="shared" si="1"/>
        <v>1905712</v>
      </c>
      <c r="G15" s="11">
        <f t="shared" si="1"/>
        <v>16201470.07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3" si="2">SUM(B17:F17)</f>
        <v>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v>220000</v>
      </c>
      <c r="G18" s="8">
        <f t="shared" si="2"/>
        <v>220000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40</v>
      </c>
      <c r="B24" s="24"/>
      <c r="C24" s="26"/>
      <c r="D24" s="27"/>
      <c r="E24" s="27"/>
      <c r="F24" s="27">
        <v>14580</v>
      </c>
      <c r="G24" s="8">
        <f t="shared" si="0"/>
        <v>14580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0</v>
      </c>
      <c r="C25" s="17">
        <f t="shared" si="3"/>
        <v>0</v>
      </c>
      <c r="D25" s="11">
        <f t="shared" si="3"/>
        <v>0</v>
      </c>
      <c r="E25" s="11">
        <f t="shared" si="3"/>
        <v>0</v>
      </c>
      <c r="F25" s="11">
        <f t="shared" si="3"/>
        <v>234580</v>
      </c>
      <c r="G25" s="11">
        <f t="shared" si="3"/>
        <v>234580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</v>
      </c>
      <c r="C26" s="11">
        <f t="shared" si="4"/>
        <v>556031</v>
      </c>
      <c r="D26" s="11">
        <f t="shared" si="4"/>
        <v>10410533</v>
      </c>
      <c r="E26" s="11">
        <f t="shared" si="4"/>
        <v>0</v>
      </c>
      <c r="F26" s="11">
        <f t="shared" si="4"/>
        <v>1671132</v>
      </c>
      <c r="G26" s="11">
        <f t="shared" si="4"/>
        <v>15966890.07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34"/>
  <sheetViews>
    <sheetView zoomScaleNormal="100" workbookViewId="0">
      <pane ySplit="9" topLeftCell="A11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39</v>
      </c>
      <c r="B4" s="94"/>
      <c r="C4" s="94"/>
      <c r="D4" s="94"/>
      <c r="E4" s="94"/>
      <c r="F4" s="94"/>
      <c r="G4" s="94"/>
    </row>
    <row r="5" spans="1:7" s="3" customFormat="1" x14ac:dyDescent="0.2">
      <c r="A5" s="35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36" t="s">
        <v>10</v>
      </c>
      <c r="C9" s="36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11829194.07</v>
      </c>
      <c r="C13" s="23">
        <v>46582863.520000003</v>
      </c>
      <c r="D13" s="18"/>
      <c r="E13" s="18"/>
      <c r="F13" s="18"/>
      <c r="G13" s="8">
        <f t="shared" si="0"/>
        <v>58412057.590000004</v>
      </c>
    </row>
    <row r="14" spans="1:7" s="9" customFormat="1" ht="26.25" customHeight="1" x14ac:dyDescent="0.2">
      <c r="A14" s="7" t="s">
        <v>16</v>
      </c>
      <c r="B14" s="8"/>
      <c r="C14" s="19"/>
      <c r="D14" s="20">
        <v>10410533</v>
      </c>
      <c r="E14" s="20"/>
      <c r="F14" s="21">
        <f>25000+320000+125731+125731+262500+1229000+506500+3000+18500+7000+270000+67500+27500+152500+213500+195000</f>
        <v>3548962</v>
      </c>
      <c r="G14" s="8">
        <f t="shared" si="0"/>
        <v>13959495</v>
      </c>
    </row>
    <row r="15" spans="1:7" s="12" customFormat="1" ht="26.25" customHeight="1" x14ac:dyDescent="0.2">
      <c r="A15" s="10" t="s">
        <v>17</v>
      </c>
      <c r="B15" s="11">
        <f>SUM(B10:B14)</f>
        <v>11829194.07</v>
      </c>
      <c r="C15" s="11">
        <f t="shared" ref="C15:G15" si="1">SUM(C10:C14)</f>
        <v>46582863.520000003</v>
      </c>
      <c r="D15" s="11">
        <f t="shared" si="1"/>
        <v>10410533</v>
      </c>
      <c r="E15" s="11">
        <f t="shared" si="1"/>
        <v>0</v>
      </c>
      <c r="F15" s="11">
        <f t="shared" si="1"/>
        <v>3548962</v>
      </c>
      <c r="G15" s="11">
        <f t="shared" si="1"/>
        <v>72371552.590000004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1500+3000+111940+84708+31400+36900+1475+14634+25870+93565+623220+10482+39900</f>
        <v>1078594</v>
      </c>
      <c r="D17" s="25"/>
      <c r="E17" s="25"/>
      <c r="F17" s="25"/>
      <c r="G17" s="8">
        <f t="shared" ref="G17:G23" si="2">SUM(B17:F17)</f>
        <v>1078594</v>
      </c>
    </row>
    <row r="18" spans="1:13" s="9" customFormat="1" ht="26.25" customHeight="1" x14ac:dyDescent="0.2">
      <c r="A18" s="13" t="s">
        <v>20</v>
      </c>
      <c r="B18" s="24">
        <f>5000000+3500000</f>
        <v>8500000</v>
      </c>
      <c r="C18" s="19">
        <v>1244400</v>
      </c>
      <c r="D18" s="27"/>
      <c r="E18" s="27"/>
      <c r="F18" s="27">
        <f>33250+220000</f>
        <v>253250</v>
      </c>
      <c r="G18" s="8">
        <f t="shared" si="2"/>
        <v>9997650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>
        <v>24911838.52</v>
      </c>
      <c r="D19" s="27"/>
      <c r="E19" s="27"/>
      <c r="F19" s="27"/>
      <c r="G19" s="8">
        <f t="shared" si="2"/>
        <v>24911838.52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>
        <f>8751000+282000+1416000+6470000+1573000+300000</f>
        <v>18792000</v>
      </c>
      <c r="D22" s="27"/>
      <c r="E22" s="27"/>
      <c r="F22" s="27"/>
      <c r="G22" s="8">
        <f t="shared" si="2"/>
        <v>18792000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>
        <v>1610000</v>
      </c>
      <c r="G23" s="8">
        <f t="shared" si="2"/>
        <v>1610000</v>
      </c>
    </row>
    <row r="24" spans="1:13" s="9" customFormat="1" ht="26.25" customHeight="1" x14ac:dyDescent="0.2">
      <c r="A24" s="7" t="s">
        <v>40</v>
      </c>
      <c r="B24" s="24"/>
      <c r="C24" s="26"/>
      <c r="D24" s="27"/>
      <c r="E24" s="27"/>
      <c r="F24" s="27">
        <v>14580</v>
      </c>
      <c r="G24" s="8">
        <f t="shared" si="0"/>
        <v>14580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8500000</v>
      </c>
      <c r="C25" s="17">
        <f t="shared" si="3"/>
        <v>46026832.519999996</v>
      </c>
      <c r="D25" s="11">
        <f t="shared" si="3"/>
        <v>0</v>
      </c>
      <c r="E25" s="11">
        <f t="shared" si="3"/>
        <v>0</v>
      </c>
      <c r="F25" s="11">
        <f t="shared" si="3"/>
        <v>1877830</v>
      </c>
      <c r="G25" s="11">
        <f t="shared" si="3"/>
        <v>56404662.519999996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3329194.0700000003</v>
      </c>
      <c r="C26" s="11">
        <f t="shared" si="4"/>
        <v>556031.00000000745</v>
      </c>
      <c r="D26" s="11">
        <f t="shared" si="4"/>
        <v>10410533</v>
      </c>
      <c r="E26" s="11">
        <f t="shared" si="4"/>
        <v>0</v>
      </c>
      <c r="F26" s="11">
        <f t="shared" si="4"/>
        <v>1671132</v>
      </c>
      <c r="G26" s="11">
        <f t="shared" si="4"/>
        <v>15966890.070000008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EA63-DE84-4437-A5A5-7F82BEE949DC}">
  <sheetPr>
    <tabColor rgb="FF00B0F0"/>
  </sheetPr>
  <dimension ref="A1:M35"/>
  <sheetViews>
    <sheetView zoomScaleNormal="100" workbookViewId="0">
      <pane ySplit="9" topLeftCell="A19" activePane="bottomLeft" state="frozen"/>
      <selection activeCell="F29" sqref="F29"/>
      <selection pane="bottomLeft" activeCell="B13" sqref="B13:F13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83</v>
      </c>
      <c r="B4" s="94"/>
      <c r="C4" s="94"/>
      <c r="D4" s="94"/>
      <c r="E4" s="94"/>
      <c r="F4" s="94"/>
      <c r="G4" s="94"/>
    </row>
    <row r="5" spans="1:7" s="3" customFormat="1" x14ac:dyDescent="0.2">
      <c r="A5" s="89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90" t="s">
        <v>10</v>
      </c>
      <c r="C9" s="90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105">
        <v>6406829.6600000001</v>
      </c>
      <c r="C13" s="18">
        <v>22617136.23</v>
      </c>
      <c r="D13" s="20">
        <v>3650451.62</v>
      </c>
      <c r="E13" s="18"/>
      <c r="F13" s="18">
        <v>4374548.3099999996</v>
      </c>
      <c r="G13" s="8">
        <f t="shared" si="0"/>
        <v>37048965.82</v>
      </c>
    </row>
    <row r="14" spans="1:7" s="9" customFormat="1" ht="26.25" customHeight="1" x14ac:dyDescent="0.2">
      <c r="A14" s="7" t="s">
        <v>16</v>
      </c>
      <c r="B14" s="38"/>
      <c r="C14" s="39">
        <f>540891.53+2000000</f>
        <v>2540891.5300000003</v>
      </c>
      <c r="D14" s="21"/>
      <c r="E14" s="21"/>
      <c r="F14" s="22">
        <f>220000+52500+479066-451566</f>
        <v>300000</v>
      </c>
      <c r="G14" s="8">
        <f t="shared" si="0"/>
        <v>2840891.5300000003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25158027.760000002</v>
      </c>
      <c r="D15" s="11">
        <f t="shared" si="1"/>
        <v>3650451.62</v>
      </c>
      <c r="E15" s="11">
        <f t="shared" si="1"/>
        <v>0</v>
      </c>
      <c r="F15" s="11">
        <f t="shared" si="1"/>
        <v>4674548.3099999996</v>
      </c>
      <c r="G15" s="11">
        <f t="shared" si="1"/>
        <v>39889857.350000001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4" si="2">SUM(B17:F17)</f>
        <v>0</v>
      </c>
    </row>
    <row r="18" spans="1:13" s="9" customFormat="1" ht="26.25" customHeight="1" x14ac:dyDescent="0.2">
      <c r="A18" s="13" t="s">
        <v>20</v>
      </c>
      <c r="B18" s="24"/>
      <c r="C18" s="19">
        <v>145000</v>
      </c>
      <c r="D18" s="27"/>
      <c r="E18" s="27"/>
      <c r="F18" s="27"/>
      <c r="G18" s="8">
        <f t="shared" si="2"/>
        <v>145000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v>1990538.42</v>
      </c>
      <c r="E19" s="27"/>
      <c r="F19" s="27"/>
      <c r="G19" s="8">
        <f t="shared" si="2"/>
        <v>1990538.42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v>89845</v>
      </c>
      <c r="G24" s="8">
        <f t="shared" si="2"/>
        <v>89845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220000+15676+143500</f>
        <v>379176</v>
      </c>
      <c r="G25" s="8">
        <f t="shared" si="0"/>
        <v>379176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145000</v>
      </c>
      <c r="D26" s="11">
        <f t="shared" si="3"/>
        <v>1990538.42</v>
      </c>
      <c r="E26" s="11">
        <f t="shared" si="3"/>
        <v>0</v>
      </c>
      <c r="F26" s="11">
        <f t="shared" si="3"/>
        <v>469021</v>
      </c>
      <c r="G26" s="11">
        <f t="shared" si="3"/>
        <v>2604559.42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6406829.6600000001</v>
      </c>
      <c r="C27" s="37">
        <f>+C15-C26</f>
        <v>25013027.760000002</v>
      </c>
      <c r="D27" s="37">
        <f t="shared" ref="D27:F27" si="5">+D15-D26</f>
        <v>1659913.2000000002</v>
      </c>
      <c r="E27" s="37">
        <f t="shared" si="5"/>
        <v>0</v>
      </c>
      <c r="F27" s="37">
        <f t="shared" si="5"/>
        <v>4205527.3099999996</v>
      </c>
      <c r="G27" s="11">
        <f t="shared" si="4"/>
        <v>37285297.93</v>
      </c>
    </row>
    <row r="28" spans="1:13" x14ac:dyDescent="0.2">
      <c r="G28" s="1">
        <f>+G27-'[1]2-04-01-020'!$F$27</f>
        <v>0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81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1.24" right="0.38" top="0.38" bottom="0.23" header="0.3" footer="0.3"/>
  <pageSetup scale="80" orientation="landscape" horizontalDpi="4294967294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4"/>
  <sheetViews>
    <sheetView zoomScaleNormal="100" workbookViewId="0">
      <pane ySplit="9" topLeftCell="A13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38</v>
      </c>
      <c r="B4" s="94"/>
      <c r="C4" s="94"/>
      <c r="D4" s="94"/>
      <c r="E4" s="94"/>
      <c r="F4" s="94"/>
      <c r="G4" s="94"/>
    </row>
    <row r="5" spans="1:7" s="3" customFormat="1" x14ac:dyDescent="0.2">
      <c r="A5" s="33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34" t="s">
        <v>10</v>
      </c>
      <c r="C9" s="34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11829194.07</v>
      </c>
      <c r="C13" s="23">
        <v>46582863.520000003</v>
      </c>
      <c r="D13" s="18"/>
      <c r="E13" s="18"/>
      <c r="F13" s="18"/>
      <c r="G13" s="8">
        <f t="shared" si="0"/>
        <v>58412057.590000004</v>
      </c>
    </row>
    <row r="14" spans="1:7" s="9" customFormat="1" ht="26.25" customHeight="1" x14ac:dyDescent="0.2">
      <c r="A14" s="7" t="s">
        <v>16</v>
      </c>
      <c r="B14" s="8"/>
      <c r="C14" s="19"/>
      <c r="D14" s="20">
        <v>10410533</v>
      </c>
      <c r="E14" s="20"/>
      <c r="F14" s="21">
        <f>25000+320000+125731+125731+262500+1229000+506500+3000+18500+7000+270000+67500+27500+152500+213500</f>
        <v>3353962</v>
      </c>
      <c r="G14" s="8">
        <f t="shared" si="0"/>
        <v>13764495</v>
      </c>
    </row>
    <row r="15" spans="1:7" s="12" customFormat="1" ht="26.25" customHeight="1" x14ac:dyDescent="0.2">
      <c r="A15" s="10" t="s">
        <v>17</v>
      </c>
      <c r="B15" s="11">
        <f>SUM(B10:B14)</f>
        <v>11829194.07</v>
      </c>
      <c r="C15" s="11">
        <f t="shared" ref="C15:G15" si="1">SUM(C10:C14)</f>
        <v>46582863.520000003</v>
      </c>
      <c r="D15" s="11">
        <f t="shared" si="1"/>
        <v>10410533</v>
      </c>
      <c r="E15" s="11">
        <f t="shared" si="1"/>
        <v>0</v>
      </c>
      <c r="F15" s="11">
        <f t="shared" si="1"/>
        <v>3353962</v>
      </c>
      <c r="G15" s="11">
        <f t="shared" si="1"/>
        <v>72176552.590000004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1500+3000+111940+84708+31400+36900+1475+14634+25870+93565+623220+10482+39900</f>
        <v>1078594</v>
      </c>
      <c r="D17" s="25"/>
      <c r="E17" s="25"/>
      <c r="F17" s="25"/>
      <c r="G17" s="8">
        <f t="shared" ref="G17:G23" si="2">SUM(B17:F17)</f>
        <v>1078594</v>
      </c>
    </row>
    <row r="18" spans="1:13" s="9" customFormat="1" ht="26.25" customHeight="1" x14ac:dyDescent="0.2">
      <c r="A18" s="13" t="s">
        <v>20</v>
      </c>
      <c r="B18" s="24">
        <f>5000000+3500000</f>
        <v>8500000</v>
      </c>
      <c r="C18" s="19">
        <v>1244400</v>
      </c>
      <c r="D18" s="27"/>
      <c r="E18" s="27"/>
      <c r="F18" s="27">
        <f>33250+220000</f>
        <v>253250</v>
      </c>
      <c r="G18" s="8">
        <f t="shared" si="2"/>
        <v>9997650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>
        <v>24911838.52</v>
      </c>
      <c r="D19" s="27"/>
      <c r="E19" s="27"/>
      <c r="F19" s="27"/>
      <c r="G19" s="8">
        <f t="shared" si="2"/>
        <v>24911838.52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>
        <f>8751000+282000+1416000+6470000+1573000+300000</f>
        <v>18792000</v>
      </c>
      <c r="D22" s="27"/>
      <c r="E22" s="27"/>
      <c r="F22" s="27"/>
      <c r="G22" s="8">
        <f t="shared" si="2"/>
        <v>18792000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>
        <v>1610000</v>
      </c>
      <c r="G23" s="8">
        <f t="shared" si="2"/>
        <v>1610000</v>
      </c>
    </row>
    <row r="24" spans="1:13" s="9" customFormat="1" ht="26.25" customHeight="1" x14ac:dyDescent="0.2">
      <c r="A24" s="7" t="s">
        <v>30</v>
      </c>
      <c r="B24" s="24"/>
      <c r="C24" s="26"/>
      <c r="D24" s="27"/>
      <c r="E24" s="27"/>
      <c r="F24" s="27"/>
      <c r="G24" s="8">
        <f t="shared" si="0"/>
        <v>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8500000</v>
      </c>
      <c r="C25" s="17">
        <f t="shared" si="3"/>
        <v>46026832.519999996</v>
      </c>
      <c r="D25" s="11">
        <f t="shared" si="3"/>
        <v>0</v>
      </c>
      <c r="E25" s="11">
        <f t="shared" si="3"/>
        <v>0</v>
      </c>
      <c r="F25" s="11">
        <f t="shared" si="3"/>
        <v>1863250</v>
      </c>
      <c r="G25" s="11">
        <f t="shared" si="3"/>
        <v>56390082.519999996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3329194.0700000003</v>
      </c>
      <c r="C26" s="11">
        <f t="shared" si="4"/>
        <v>556031.00000000745</v>
      </c>
      <c r="D26" s="11">
        <f t="shared" si="4"/>
        <v>10410533</v>
      </c>
      <c r="E26" s="11">
        <f t="shared" si="4"/>
        <v>0</v>
      </c>
      <c r="F26" s="11">
        <f t="shared" si="4"/>
        <v>1490712</v>
      </c>
      <c r="G26" s="11">
        <f t="shared" si="4"/>
        <v>15786470.070000008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34"/>
  <sheetViews>
    <sheetView zoomScaleNormal="100" workbookViewId="0">
      <pane ySplit="9" topLeftCell="A13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37</v>
      </c>
      <c r="B4" s="94"/>
      <c r="C4" s="94"/>
      <c r="D4" s="94"/>
      <c r="E4" s="94"/>
      <c r="F4" s="94"/>
      <c r="G4" s="94"/>
    </row>
    <row r="5" spans="1:7" s="3" customFormat="1" x14ac:dyDescent="0.2">
      <c r="A5" s="31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32" t="s">
        <v>10</v>
      </c>
      <c r="C9" s="32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11829194.07</v>
      </c>
      <c r="C13" s="23">
        <v>46582863.520000003</v>
      </c>
      <c r="D13" s="18"/>
      <c r="E13" s="18"/>
      <c r="F13" s="18"/>
      <c r="G13" s="8">
        <f t="shared" si="0"/>
        <v>58412057.590000004</v>
      </c>
    </row>
    <row r="14" spans="1:7" s="9" customFormat="1" ht="26.25" customHeight="1" x14ac:dyDescent="0.2">
      <c r="A14" s="7" t="s">
        <v>16</v>
      </c>
      <c r="B14" s="8"/>
      <c r="C14" s="19"/>
      <c r="D14" s="20">
        <v>10410533</v>
      </c>
      <c r="E14" s="20"/>
      <c r="F14" s="21">
        <f>25000+320000+125731+125731+262500+1229000+506500+3000+18500+7000+270000+67500+27500+152500</f>
        <v>3140462</v>
      </c>
      <c r="G14" s="8">
        <f t="shared" si="0"/>
        <v>13550995</v>
      </c>
    </row>
    <row r="15" spans="1:7" s="12" customFormat="1" ht="26.25" customHeight="1" x14ac:dyDescent="0.2">
      <c r="A15" s="10" t="s">
        <v>17</v>
      </c>
      <c r="B15" s="11">
        <f>SUM(B10:B14)</f>
        <v>11829194.07</v>
      </c>
      <c r="C15" s="11">
        <f t="shared" ref="C15:G15" si="1">SUM(C10:C14)</f>
        <v>46582863.520000003</v>
      </c>
      <c r="D15" s="11">
        <f t="shared" si="1"/>
        <v>10410533</v>
      </c>
      <c r="E15" s="11">
        <f t="shared" si="1"/>
        <v>0</v>
      </c>
      <c r="F15" s="11">
        <f t="shared" si="1"/>
        <v>3140462</v>
      </c>
      <c r="G15" s="11">
        <f t="shared" si="1"/>
        <v>71963052.590000004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1500+3000+111940+84708+31400+36900+1475+14634+25870+93565+623220+10482+39900</f>
        <v>1078594</v>
      </c>
      <c r="D17" s="25"/>
      <c r="E17" s="25"/>
      <c r="F17" s="25"/>
      <c r="G17" s="8">
        <f t="shared" ref="G17:G23" si="2">SUM(B17:F17)</f>
        <v>1078594</v>
      </c>
    </row>
    <row r="18" spans="1:13" s="9" customFormat="1" ht="26.25" customHeight="1" x14ac:dyDescent="0.2">
      <c r="A18" s="13" t="s">
        <v>20</v>
      </c>
      <c r="B18" s="24">
        <f>5000000+3500000</f>
        <v>8500000</v>
      </c>
      <c r="C18" s="19">
        <v>1244400</v>
      </c>
      <c r="D18" s="27"/>
      <c r="E18" s="27"/>
      <c r="F18" s="27">
        <f>33250+220000</f>
        <v>253250</v>
      </c>
      <c r="G18" s="8">
        <f t="shared" si="2"/>
        <v>9997650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>
        <v>24911838.52</v>
      </c>
      <c r="D19" s="27"/>
      <c r="E19" s="27"/>
      <c r="F19" s="27"/>
      <c r="G19" s="8">
        <f t="shared" si="2"/>
        <v>24911838.52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>
        <f>8751000+282000+1416000+6470000+1573000+300000</f>
        <v>18792000</v>
      </c>
      <c r="D22" s="27"/>
      <c r="E22" s="27"/>
      <c r="F22" s="27"/>
      <c r="G22" s="8">
        <f t="shared" si="2"/>
        <v>18792000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>
        <v>1610000</v>
      </c>
      <c r="G23" s="8">
        <f t="shared" si="2"/>
        <v>1610000</v>
      </c>
    </row>
    <row r="24" spans="1:13" s="9" customFormat="1" ht="26.25" customHeight="1" x14ac:dyDescent="0.2">
      <c r="A24" s="7" t="s">
        <v>30</v>
      </c>
      <c r="B24" s="24"/>
      <c r="C24" s="26"/>
      <c r="D24" s="27"/>
      <c r="E24" s="27"/>
      <c r="F24" s="27"/>
      <c r="G24" s="8">
        <f t="shared" si="0"/>
        <v>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8500000</v>
      </c>
      <c r="C25" s="17">
        <f t="shared" si="3"/>
        <v>46026832.519999996</v>
      </c>
      <c r="D25" s="11">
        <f t="shared" si="3"/>
        <v>0</v>
      </c>
      <c r="E25" s="11">
        <f t="shared" si="3"/>
        <v>0</v>
      </c>
      <c r="F25" s="11">
        <f t="shared" si="3"/>
        <v>1863250</v>
      </c>
      <c r="G25" s="11">
        <f t="shared" si="3"/>
        <v>56390082.519999996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3329194.0700000003</v>
      </c>
      <c r="C26" s="11">
        <f t="shared" si="4"/>
        <v>556031.00000000745</v>
      </c>
      <c r="D26" s="11">
        <f t="shared" si="4"/>
        <v>10410533</v>
      </c>
      <c r="E26" s="11">
        <f t="shared" si="4"/>
        <v>0</v>
      </c>
      <c r="F26" s="11">
        <f t="shared" si="4"/>
        <v>1277212</v>
      </c>
      <c r="G26" s="11">
        <f t="shared" si="4"/>
        <v>15572970.070000008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zoomScaleNormal="100" workbookViewId="0">
      <pane ySplit="9" topLeftCell="A10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35</v>
      </c>
      <c r="B4" s="94"/>
      <c r="C4" s="94"/>
      <c r="D4" s="94"/>
      <c r="E4" s="94"/>
      <c r="F4" s="94"/>
      <c r="G4" s="94"/>
    </row>
    <row r="5" spans="1:7" s="3" customFormat="1" x14ac:dyDescent="0.2">
      <c r="A5" s="28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29" t="s">
        <v>10</v>
      </c>
      <c r="C9" s="29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11829194.07</v>
      </c>
      <c r="C13" s="23">
        <v>46582863.520000003</v>
      </c>
      <c r="D13" s="18"/>
      <c r="E13" s="18"/>
      <c r="F13" s="18"/>
      <c r="G13" s="8">
        <f t="shared" si="0"/>
        <v>58412057.590000004</v>
      </c>
    </row>
    <row r="14" spans="1:7" s="9" customFormat="1" ht="26.25" customHeight="1" x14ac:dyDescent="0.2">
      <c r="A14" s="7" t="s">
        <v>16</v>
      </c>
      <c r="B14" s="8"/>
      <c r="C14" s="19"/>
      <c r="D14" s="20">
        <v>10410533</v>
      </c>
      <c r="E14" s="20"/>
      <c r="F14" s="21">
        <f>25000+320000+125731+125731+262500+1229000+506500+3000+18500+7000+270000+67500+27500</f>
        <v>2987962</v>
      </c>
      <c r="G14" s="8">
        <f t="shared" si="0"/>
        <v>13398495</v>
      </c>
    </row>
    <row r="15" spans="1:7" s="12" customFormat="1" ht="26.25" customHeight="1" x14ac:dyDescent="0.2">
      <c r="A15" s="10" t="s">
        <v>17</v>
      </c>
      <c r="B15" s="11">
        <f>SUM(B10:B14)</f>
        <v>11829194.07</v>
      </c>
      <c r="C15" s="11">
        <f t="shared" ref="C15:G15" si="1">SUM(C10:C14)</f>
        <v>46582863.520000003</v>
      </c>
      <c r="D15" s="11">
        <f t="shared" si="1"/>
        <v>10410533</v>
      </c>
      <c r="E15" s="11">
        <f t="shared" si="1"/>
        <v>0</v>
      </c>
      <c r="F15" s="11">
        <f t="shared" si="1"/>
        <v>2987962</v>
      </c>
      <c r="G15" s="11">
        <f t="shared" si="1"/>
        <v>71810552.590000004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1500+3000+111940+84708+31400+36900+1475+14634+25870+93565+623220+10482+39900</f>
        <v>1078594</v>
      </c>
      <c r="D17" s="25"/>
      <c r="E17" s="25"/>
      <c r="F17" s="25"/>
      <c r="G17" s="8">
        <f t="shared" ref="G17:G23" si="2">SUM(B17:F17)</f>
        <v>1078594</v>
      </c>
    </row>
    <row r="18" spans="1:13" s="9" customFormat="1" ht="26.25" customHeight="1" x14ac:dyDescent="0.2">
      <c r="A18" s="13" t="s">
        <v>20</v>
      </c>
      <c r="B18" s="24">
        <f>5000000+3500000</f>
        <v>8500000</v>
      </c>
      <c r="C18" s="19">
        <v>1244400</v>
      </c>
      <c r="D18" s="27"/>
      <c r="E18" s="27"/>
      <c r="F18" s="27">
        <v>33250</v>
      </c>
      <c r="G18" s="8">
        <f t="shared" si="2"/>
        <v>9777650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>
        <v>24911838.52</v>
      </c>
      <c r="D19" s="27"/>
      <c r="E19" s="27"/>
      <c r="F19" s="27"/>
      <c r="G19" s="8">
        <f t="shared" si="2"/>
        <v>24911838.52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>
        <f>8751000+282000+1416000+6470000+1573000+300000</f>
        <v>18792000</v>
      </c>
      <c r="D22" s="27"/>
      <c r="E22" s="27"/>
      <c r="F22" s="27"/>
      <c r="G22" s="8">
        <f t="shared" si="2"/>
        <v>18792000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>
        <v>1610000</v>
      </c>
      <c r="G23" s="8">
        <f t="shared" si="2"/>
        <v>1610000</v>
      </c>
    </row>
    <row r="24" spans="1:13" s="9" customFormat="1" ht="26.25" customHeight="1" x14ac:dyDescent="0.2">
      <c r="A24" s="7" t="s">
        <v>30</v>
      </c>
      <c r="B24" s="24"/>
      <c r="C24" s="26"/>
      <c r="D24" s="27"/>
      <c r="E24" s="27"/>
      <c r="F24" s="27"/>
      <c r="G24" s="8">
        <f t="shared" si="0"/>
        <v>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8500000</v>
      </c>
      <c r="C25" s="17">
        <f t="shared" si="3"/>
        <v>46026832.519999996</v>
      </c>
      <c r="D25" s="11">
        <f t="shared" si="3"/>
        <v>0</v>
      </c>
      <c r="E25" s="11">
        <f t="shared" si="3"/>
        <v>0</v>
      </c>
      <c r="F25" s="11">
        <f t="shared" si="3"/>
        <v>1643250</v>
      </c>
      <c r="G25" s="11">
        <f t="shared" si="3"/>
        <v>56170082.519999996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3329194.0700000003</v>
      </c>
      <c r="C26" s="11">
        <f t="shared" si="4"/>
        <v>556031.00000000745</v>
      </c>
      <c r="D26" s="11">
        <f t="shared" si="4"/>
        <v>10410533</v>
      </c>
      <c r="E26" s="11">
        <f t="shared" si="4"/>
        <v>0</v>
      </c>
      <c r="F26" s="11">
        <f t="shared" si="4"/>
        <v>1344712</v>
      </c>
      <c r="G26" s="11">
        <f t="shared" si="4"/>
        <v>15640470.070000008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zoomScaleNormal="100" workbookViewId="0">
      <pane ySplit="9" topLeftCell="A13" activePane="bottomLeft" state="frozen"/>
      <selection activeCell="C28" sqref="C28"/>
      <selection pane="bottomLeft" activeCell="C28" sqref="C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35</v>
      </c>
      <c r="B4" s="94"/>
      <c r="C4" s="94"/>
      <c r="D4" s="94"/>
      <c r="E4" s="94"/>
      <c r="F4" s="94"/>
      <c r="G4" s="94"/>
    </row>
    <row r="5" spans="1:7" s="3" customFormat="1" x14ac:dyDescent="0.2">
      <c r="A5" s="35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36" t="s">
        <v>10</v>
      </c>
      <c r="C9" s="36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4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/>
      <c r="C14" s="39"/>
      <c r="D14" s="21">
        <v>10410533</v>
      </c>
      <c r="E14" s="21"/>
      <c r="F14" s="22">
        <v>1344712</v>
      </c>
      <c r="G14" s="8">
        <f t="shared" si="0"/>
        <v>11755245</v>
      </c>
    </row>
    <row r="15" spans="1:7" s="12" customFormat="1" ht="26.25" customHeight="1" x14ac:dyDescent="0.2">
      <c r="A15" s="10" t="s">
        <v>17</v>
      </c>
      <c r="B15" s="11">
        <f>SUM(B10:B14)</f>
        <v>3329194.07</v>
      </c>
      <c r="C15" s="11">
        <f t="shared" ref="C15:G15" si="1">SUM(C10:C14)</f>
        <v>556031</v>
      </c>
      <c r="D15" s="11">
        <f t="shared" si="1"/>
        <v>10410533</v>
      </c>
      <c r="E15" s="11">
        <f t="shared" si="1"/>
        <v>0</v>
      </c>
      <c r="F15" s="11">
        <f t="shared" si="1"/>
        <v>1344712</v>
      </c>
      <c r="G15" s="11">
        <f t="shared" si="1"/>
        <v>15640470.07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3" si="2">SUM(B17:F17)</f>
        <v>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/>
      <c r="G18" s="8">
        <f t="shared" si="2"/>
        <v>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30</v>
      </c>
      <c r="B24" s="24"/>
      <c r="C24" s="26"/>
      <c r="D24" s="27"/>
      <c r="E24" s="27"/>
      <c r="F24" s="27"/>
      <c r="G24" s="8">
        <f t="shared" si="0"/>
        <v>0</v>
      </c>
    </row>
    <row r="25" spans="1:13" s="12" customFormat="1" ht="26.25" customHeight="1" x14ac:dyDescent="0.2">
      <c r="A25" s="10" t="s">
        <v>22</v>
      </c>
      <c r="B25" s="11">
        <f t="shared" ref="B25:G25" si="3">SUM(B17:B24)</f>
        <v>0</v>
      </c>
      <c r="C25" s="17">
        <f t="shared" si="3"/>
        <v>0</v>
      </c>
      <c r="D25" s="11">
        <f t="shared" si="3"/>
        <v>0</v>
      </c>
      <c r="E25" s="11">
        <f t="shared" si="3"/>
        <v>0</v>
      </c>
      <c r="F25" s="11">
        <f t="shared" si="3"/>
        <v>0</v>
      </c>
      <c r="G25" s="11">
        <f t="shared" si="3"/>
        <v>0</v>
      </c>
    </row>
    <row r="26" spans="1:13" s="9" customFormat="1" ht="26.25" customHeight="1" x14ac:dyDescent="0.2">
      <c r="A26" s="10" t="s">
        <v>23</v>
      </c>
      <c r="B26" s="11">
        <f t="shared" ref="B26:G26" si="4">+B15-B25</f>
        <v>3329194.07</v>
      </c>
      <c r="C26" s="11">
        <f t="shared" si="4"/>
        <v>556031</v>
      </c>
      <c r="D26" s="11">
        <f t="shared" si="4"/>
        <v>10410533</v>
      </c>
      <c r="E26" s="11">
        <f t="shared" si="4"/>
        <v>0</v>
      </c>
      <c r="F26" s="11">
        <f t="shared" si="4"/>
        <v>1344712</v>
      </c>
      <c r="G26" s="11">
        <f t="shared" si="4"/>
        <v>15640470.07</v>
      </c>
    </row>
    <row r="28" spans="1:13" x14ac:dyDescent="0.2">
      <c r="B28" s="1" t="s">
        <v>24</v>
      </c>
      <c r="E28" s="1" t="s">
        <v>25</v>
      </c>
    </row>
    <row r="30" spans="1:13" x14ac:dyDescent="0.2">
      <c r="B30" s="14"/>
      <c r="E30" s="14"/>
    </row>
    <row r="31" spans="1:13" x14ac:dyDescent="0.2">
      <c r="B31" s="15" t="s">
        <v>26</v>
      </c>
      <c r="E31" s="15" t="s">
        <v>27</v>
      </c>
    </row>
    <row r="32" spans="1:13" x14ac:dyDescent="0.2">
      <c r="B32" s="15" t="s">
        <v>33</v>
      </c>
      <c r="E32" s="15" t="s">
        <v>28</v>
      </c>
    </row>
    <row r="34" spans="1:13" s="1" customFormat="1" x14ac:dyDescent="0.2">
      <c r="A34" s="16"/>
      <c r="H34"/>
      <c r="I34"/>
      <c r="J34"/>
      <c r="K34"/>
      <c r="L34"/>
      <c r="M34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63" bottom="0.48" header="0.3" footer="0.3"/>
  <pageSetup scale="81" orientation="landscape" horizontalDpi="4294967294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EB4D-C185-45FF-9F12-912B74C3288D}">
  <sheetPr>
    <tabColor rgb="FF00B0F0"/>
  </sheetPr>
  <dimension ref="A1:M35"/>
  <sheetViews>
    <sheetView topLeftCell="B1" zoomScaleNormal="100" workbookViewId="0">
      <pane ySplit="9" topLeftCell="A16" activePane="bottomLeft" state="frozen"/>
      <selection activeCell="F29" sqref="F29"/>
      <selection pane="bottomLeft" activeCell="B13" sqref="B13:F13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82</v>
      </c>
      <c r="B4" s="94"/>
      <c r="C4" s="94"/>
      <c r="D4" s="94"/>
      <c r="E4" s="94"/>
      <c r="F4" s="94"/>
      <c r="G4" s="94"/>
    </row>
    <row r="5" spans="1:7" s="3" customFormat="1" x14ac:dyDescent="0.2">
      <c r="A5" s="87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88" t="s">
        <v>10</v>
      </c>
      <c r="C9" s="88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82">
        <f>3329194.07+2997997.59+79638</f>
        <v>6406829.6600000001</v>
      </c>
      <c r="C13" s="82">
        <f>+'DEC2021'!C27</f>
        <v>22617136.23</v>
      </c>
      <c r="D13" s="21">
        <f>10410533+10255089-16601230.8-370725-43214.58</f>
        <v>3650451.6199999992</v>
      </c>
      <c r="E13" s="23"/>
      <c r="F13" s="22">
        <f>+'DEC2021'!F27</f>
        <v>4374548.3100000005</v>
      </c>
      <c r="G13" s="8">
        <f t="shared" si="0"/>
        <v>37048965.82</v>
      </c>
    </row>
    <row r="14" spans="1:7" s="9" customFormat="1" ht="26.25" customHeight="1" x14ac:dyDescent="0.2">
      <c r="A14" s="7" t="s">
        <v>16</v>
      </c>
      <c r="B14" s="38"/>
      <c r="C14" s="39">
        <v>540891.53</v>
      </c>
      <c r="D14" s="21"/>
      <c r="E14" s="21"/>
      <c r="F14" s="22">
        <f>220000+52500+479066-451566</f>
        <v>300000</v>
      </c>
      <c r="G14" s="8">
        <f t="shared" si="0"/>
        <v>840891.53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23158027.760000002</v>
      </c>
      <c r="D15" s="11">
        <f t="shared" si="1"/>
        <v>3650451.6199999992</v>
      </c>
      <c r="E15" s="11">
        <f t="shared" si="1"/>
        <v>0</v>
      </c>
      <c r="F15" s="11">
        <f t="shared" si="1"/>
        <v>4674548.3100000005</v>
      </c>
      <c r="G15" s="11">
        <f t="shared" si="1"/>
        <v>37889857.350000001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4" si="2">SUM(B17:F17)</f>
        <v>0</v>
      </c>
    </row>
    <row r="18" spans="1:13" s="9" customFormat="1" ht="26.25" customHeight="1" x14ac:dyDescent="0.2">
      <c r="A18" s="13" t="s">
        <v>20</v>
      </c>
      <c r="B18" s="24"/>
      <c r="C18" s="19">
        <v>145000</v>
      </c>
      <c r="D18" s="27"/>
      <c r="E18" s="27"/>
      <c r="F18" s="27"/>
      <c r="G18" s="8">
        <f t="shared" si="2"/>
        <v>145000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v>1990538.42</v>
      </c>
      <c r="E19" s="27"/>
      <c r="F19" s="27"/>
      <c r="G19" s="8">
        <f t="shared" si="2"/>
        <v>1990538.42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v>89845</v>
      </c>
      <c r="G24" s="8">
        <f t="shared" si="2"/>
        <v>89845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220000+15676</f>
        <v>235676</v>
      </c>
      <c r="G25" s="8">
        <f t="shared" si="0"/>
        <v>235676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145000</v>
      </c>
      <c r="D26" s="11">
        <f t="shared" si="3"/>
        <v>1990538.42</v>
      </c>
      <c r="E26" s="11">
        <f t="shared" si="3"/>
        <v>0</v>
      </c>
      <c r="F26" s="11">
        <f t="shared" si="3"/>
        <v>325521</v>
      </c>
      <c r="G26" s="11">
        <f t="shared" si="3"/>
        <v>2461059.42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6406829.6600000001</v>
      </c>
      <c r="C27" s="37">
        <f>+C15-C26</f>
        <v>23013027.760000002</v>
      </c>
      <c r="D27" s="37">
        <f t="shared" ref="D27:F27" si="5">+D15-D26</f>
        <v>1659913.1999999993</v>
      </c>
      <c r="E27" s="37">
        <f t="shared" si="5"/>
        <v>0</v>
      </c>
      <c r="F27" s="37">
        <f t="shared" si="5"/>
        <v>4349027.3100000005</v>
      </c>
      <c r="G27" s="11">
        <f t="shared" si="4"/>
        <v>35428797.93</v>
      </c>
    </row>
    <row r="28" spans="1:13" x14ac:dyDescent="0.2">
      <c r="G28" s="1">
        <f>+G27-'[1]2-04-01-020'!$F$24</f>
        <v>0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81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1.24" right="0.38" top="0.38" bottom="0.23" header="0.3" footer="0.3"/>
  <pageSetup scale="80" orientation="landscape" horizontalDpi="4294967294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A609-BB19-42DC-A6EB-1244EFEFE697}">
  <sheetPr>
    <tabColor rgb="FF00B0F0"/>
  </sheetPr>
  <dimension ref="A1:M35"/>
  <sheetViews>
    <sheetView zoomScaleNormal="100" workbookViewId="0">
      <pane ySplit="9" topLeftCell="A13" activePane="bottomLeft" state="frozen"/>
      <selection activeCell="E28" sqref="E28"/>
      <selection pane="bottomLeft" activeCell="B13" sqref="B13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88</v>
      </c>
      <c r="B4" s="94"/>
      <c r="C4" s="94"/>
      <c r="D4" s="94"/>
      <c r="E4" s="94"/>
      <c r="F4" s="94"/>
      <c r="G4" s="94"/>
    </row>
    <row r="5" spans="1:7" s="3" customFormat="1" x14ac:dyDescent="0.2">
      <c r="A5" s="85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86" t="s">
        <v>10</v>
      </c>
      <c r="C9" s="86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105">
        <v>6406829.6600000001</v>
      </c>
      <c r="C13" s="18">
        <v>22617136.23</v>
      </c>
      <c r="D13" s="20">
        <v>3650451.62</v>
      </c>
      <c r="E13" s="18"/>
      <c r="F13" s="18">
        <v>4374548.3099999996</v>
      </c>
      <c r="G13" s="8">
        <f t="shared" si="0"/>
        <v>37048965.82</v>
      </c>
    </row>
    <row r="14" spans="1:7" s="9" customFormat="1" ht="26.25" customHeight="1" x14ac:dyDescent="0.2">
      <c r="A14" s="7" t="s">
        <v>16</v>
      </c>
      <c r="B14" s="38"/>
      <c r="C14" s="39">
        <v>540891.53</v>
      </c>
      <c r="D14" s="21"/>
      <c r="E14" s="21"/>
      <c r="F14" s="22">
        <f>220000+52500+479066</f>
        <v>751566</v>
      </c>
      <c r="G14" s="8">
        <f t="shared" si="0"/>
        <v>1292457.53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23158027.760000002</v>
      </c>
      <c r="D15" s="11">
        <f t="shared" si="1"/>
        <v>3650451.62</v>
      </c>
      <c r="E15" s="11">
        <f t="shared" si="1"/>
        <v>0</v>
      </c>
      <c r="F15" s="11">
        <f t="shared" si="1"/>
        <v>5126114.3099999996</v>
      </c>
      <c r="G15" s="11">
        <f t="shared" si="1"/>
        <v>38341423.350000001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4" si="2">SUM(B17:F17)</f>
        <v>0</v>
      </c>
    </row>
    <row r="18" spans="1:13" s="9" customFormat="1" ht="26.25" customHeight="1" x14ac:dyDescent="0.2">
      <c r="A18" s="13" t="s">
        <v>20</v>
      </c>
      <c r="B18" s="24"/>
      <c r="C18" s="19">
        <v>145000</v>
      </c>
      <c r="D18" s="27"/>
      <c r="E18" s="27"/>
      <c r="F18" s="27"/>
      <c r="G18" s="8">
        <f t="shared" si="2"/>
        <v>145000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v>1990538.42</v>
      </c>
      <c r="E19" s="27"/>
      <c r="F19" s="27"/>
      <c r="G19" s="8">
        <f t="shared" si="2"/>
        <v>1990538.42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v>89845</v>
      </c>
      <c r="G24" s="8">
        <f t="shared" si="2"/>
        <v>89845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>
        <f>220000+15676</f>
        <v>235676</v>
      </c>
      <c r="G25" s="8">
        <f t="shared" si="0"/>
        <v>235676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145000</v>
      </c>
      <c r="D26" s="11">
        <f t="shared" si="3"/>
        <v>1990538.42</v>
      </c>
      <c r="E26" s="11">
        <f t="shared" si="3"/>
        <v>0</v>
      </c>
      <c r="F26" s="11">
        <f t="shared" si="3"/>
        <v>325521</v>
      </c>
      <c r="G26" s="11">
        <f t="shared" si="3"/>
        <v>2461059.42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6406829.6600000001</v>
      </c>
      <c r="C27" s="37">
        <f>+C15-C26</f>
        <v>23013027.760000002</v>
      </c>
      <c r="D27" s="37">
        <f t="shared" ref="D27:F27" si="5">+D15-D26</f>
        <v>1659913.2000000002</v>
      </c>
      <c r="E27" s="37">
        <f t="shared" si="5"/>
        <v>0</v>
      </c>
      <c r="F27" s="37">
        <f t="shared" si="5"/>
        <v>4800593.3099999996</v>
      </c>
      <c r="G27" s="11">
        <f t="shared" si="4"/>
        <v>35880363.93</v>
      </c>
    </row>
    <row r="28" spans="1:13" x14ac:dyDescent="0.2">
      <c r="G28" s="1">
        <f>+G27-'[1]2-04-01-020'!$F$22</f>
        <v>0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81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1.24" right="0.38" top="0.38" bottom="0.23" header="0.3" footer="0.3"/>
  <pageSetup scale="80" orientation="landscape" horizontalDpi="4294967294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B05D-1A05-4D66-8FBE-432F52238F33}">
  <sheetPr>
    <tabColor rgb="FF00B0F0"/>
  </sheetPr>
  <dimension ref="A1:M35"/>
  <sheetViews>
    <sheetView topLeftCell="B1" zoomScaleNormal="100" workbookViewId="0">
      <pane ySplit="9" topLeftCell="A13" activePane="bottomLeft" state="frozen"/>
      <selection activeCell="E28" sqref="E28"/>
      <selection pane="bottomLeft" activeCell="B13" sqref="B13:F13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87</v>
      </c>
      <c r="B4" s="94"/>
      <c r="C4" s="94"/>
      <c r="D4" s="94"/>
      <c r="E4" s="94"/>
      <c r="F4" s="94"/>
      <c r="G4" s="94"/>
    </row>
    <row r="5" spans="1:7" s="3" customFormat="1" x14ac:dyDescent="0.2">
      <c r="A5" s="83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84" t="s">
        <v>10</v>
      </c>
      <c r="C9" s="84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105">
        <v>6406829.6600000001</v>
      </c>
      <c r="C13" s="18">
        <v>22617136.23</v>
      </c>
      <c r="D13" s="20">
        <v>3650451.62</v>
      </c>
      <c r="E13" s="18"/>
      <c r="F13" s="18">
        <v>4374548.3099999996</v>
      </c>
      <c r="G13" s="8">
        <f t="shared" si="0"/>
        <v>37048965.82</v>
      </c>
    </row>
    <row r="14" spans="1:7" s="9" customFormat="1" ht="26.25" customHeight="1" x14ac:dyDescent="0.2">
      <c r="A14" s="7" t="s">
        <v>16</v>
      </c>
      <c r="B14" s="38"/>
      <c r="C14" s="39"/>
      <c r="D14" s="21"/>
      <c r="E14" s="21"/>
      <c r="F14" s="22">
        <f>220000+52500</f>
        <v>272500</v>
      </c>
      <c r="G14" s="8">
        <f t="shared" si="0"/>
        <v>272500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22617136.23</v>
      </c>
      <c r="D15" s="11">
        <f t="shared" si="1"/>
        <v>3650451.62</v>
      </c>
      <c r="E15" s="11">
        <f t="shared" si="1"/>
        <v>0</v>
      </c>
      <c r="F15" s="11">
        <f t="shared" si="1"/>
        <v>4647048.3099999996</v>
      </c>
      <c r="G15" s="11">
        <f t="shared" si="1"/>
        <v>37321465.82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4" si="2">SUM(B17:F17)</f>
        <v>0</v>
      </c>
    </row>
    <row r="18" spans="1:13" s="9" customFormat="1" ht="26.25" customHeight="1" x14ac:dyDescent="0.2">
      <c r="A18" s="13" t="s">
        <v>20</v>
      </c>
      <c r="B18" s="24"/>
      <c r="C18" s="19">
        <v>145000</v>
      </c>
      <c r="D18" s="27"/>
      <c r="E18" s="27"/>
      <c r="F18" s="27"/>
      <c r="G18" s="8">
        <f t="shared" si="2"/>
        <v>145000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v>1990538.42</v>
      </c>
      <c r="E19" s="27"/>
      <c r="F19" s="27"/>
      <c r="G19" s="8">
        <f t="shared" si="2"/>
        <v>1990538.42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v>89845</v>
      </c>
      <c r="G24" s="8">
        <f t="shared" si="2"/>
        <v>89845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/>
      <c r="G25" s="8">
        <f t="shared" si="0"/>
        <v>0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145000</v>
      </c>
      <c r="D26" s="11">
        <f t="shared" si="3"/>
        <v>1990538.42</v>
      </c>
      <c r="E26" s="11">
        <f t="shared" si="3"/>
        <v>0</v>
      </c>
      <c r="F26" s="11">
        <f t="shared" si="3"/>
        <v>89845</v>
      </c>
      <c r="G26" s="11">
        <f t="shared" si="3"/>
        <v>2225383.42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6406829.6600000001</v>
      </c>
      <c r="C27" s="37">
        <f>+C15-C26</f>
        <v>22472136.23</v>
      </c>
      <c r="D27" s="37">
        <f t="shared" ref="D27:F27" si="5">+D15-D26</f>
        <v>1659913.2000000002</v>
      </c>
      <c r="E27" s="37">
        <f t="shared" si="5"/>
        <v>0</v>
      </c>
      <c r="F27" s="37">
        <f t="shared" si="5"/>
        <v>4557203.3099999996</v>
      </c>
      <c r="G27" s="11">
        <f t="shared" si="4"/>
        <v>35096082.399999999</v>
      </c>
    </row>
    <row r="28" spans="1:13" x14ac:dyDescent="0.2">
      <c r="G28" s="1">
        <f>+G27-'[1]2-04-01-020'!$F$18</f>
        <v>0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80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C559-139E-4686-A688-058457D04354}">
  <sheetPr>
    <tabColor rgb="FF00B0F0"/>
  </sheetPr>
  <dimension ref="A1:M35"/>
  <sheetViews>
    <sheetView topLeftCell="B1" zoomScaleNormal="100" workbookViewId="0">
      <pane ySplit="9" topLeftCell="A10" activePane="bottomLeft" state="frozen"/>
      <selection activeCell="E28" sqref="E28"/>
      <selection pane="bottomLeft" activeCell="B13" sqref="B13:F13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86</v>
      </c>
      <c r="B4" s="94"/>
      <c r="C4" s="94"/>
      <c r="D4" s="94"/>
      <c r="E4" s="94"/>
      <c r="F4" s="94"/>
      <c r="G4" s="94"/>
    </row>
    <row r="5" spans="1:7" s="3" customFormat="1" x14ac:dyDescent="0.2">
      <c r="A5" s="83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84" t="s">
        <v>10</v>
      </c>
      <c r="C9" s="84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105">
        <v>6406829.6600000001</v>
      </c>
      <c r="C13" s="18">
        <v>22617136.23</v>
      </c>
      <c r="D13" s="20">
        <v>3650451.62</v>
      </c>
      <c r="E13" s="18"/>
      <c r="F13" s="18">
        <v>4374548.3099999996</v>
      </c>
      <c r="G13" s="8">
        <f t="shared" si="0"/>
        <v>37048965.82</v>
      </c>
    </row>
    <row r="14" spans="1:7" s="9" customFormat="1" ht="26.25" customHeight="1" x14ac:dyDescent="0.2">
      <c r="A14" s="7" t="s">
        <v>16</v>
      </c>
      <c r="B14" s="38"/>
      <c r="C14" s="39"/>
      <c r="D14" s="21"/>
      <c r="E14" s="21"/>
      <c r="F14" s="22">
        <f>220000</f>
        <v>220000</v>
      </c>
      <c r="G14" s="8">
        <f t="shared" si="0"/>
        <v>220000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22617136.23</v>
      </c>
      <c r="D15" s="11">
        <f t="shared" si="1"/>
        <v>3650451.62</v>
      </c>
      <c r="E15" s="11">
        <f t="shared" si="1"/>
        <v>0</v>
      </c>
      <c r="F15" s="11">
        <f t="shared" si="1"/>
        <v>4594548.3099999996</v>
      </c>
      <c r="G15" s="11">
        <f t="shared" si="1"/>
        <v>37268965.82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/>
      <c r="D17" s="25"/>
      <c r="E17" s="25"/>
      <c r="F17" s="25"/>
      <c r="G17" s="8">
        <f t="shared" ref="G17:G24" si="2">SUM(B17:F17)</f>
        <v>0</v>
      </c>
    </row>
    <row r="18" spans="1:13" s="9" customFormat="1" ht="26.25" customHeight="1" x14ac:dyDescent="0.2">
      <c r="A18" s="13" t="s">
        <v>20</v>
      </c>
      <c r="B18" s="24"/>
      <c r="C18" s="19">
        <v>145000</v>
      </c>
      <c r="D18" s="27"/>
      <c r="E18" s="27"/>
      <c r="F18" s="27"/>
      <c r="G18" s="8">
        <f t="shared" si="2"/>
        <v>145000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/>
      <c r="E19" s="27"/>
      <c r="F19" s="27"/>
      <c r="G19" s="8">
        <f t="shared" si="2"/>
        <v>0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/>
      <c r="G24" s="8">
        <f t="shared" si="2"/>
        <v>0</v>
      </c>
    </row>
    <row r="25" spans="1:13" s="9" customFormat="1" ht="26.25" customHeight="1" x14ac:dyDescent="0.2">
      <c r="A25" s="7" t="s">
        <v>40</v>
      </c>
      <c r="B25" s="24"/>
      <c r="C25" s="26"/>
      <c r="D25" s="27"/>
      <c r="E25" s="27"/>
      <c r="F25" s="27"/>
      <c r="G25" s="8">
        <f t="shared" si="0"/>
        <v>0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145000</v>
      </c>
      <c r="D26" s="11">
        <f t="shared" si="3"/>
        <v>0</v>
      </c>
      <c r="E26" s="11">
        <f t="shared" si="3"/>
        <v>0</v>
      </c>
      <c r="F26" s="11">
        <f t="shared" si="3"/>
        <v>0</v>
      </c>
      <c r="G26" s="11">
        <f t="shared" si="3"/>
        <v>145000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6406829.6600000001</v>
      </c>
      <c r="C27" s="37">
        <f>+C15-C26</f>
        <v>22472136.23</v>
      </c>
      <c r="D27" s="37">
        <f t="shared" ref="D27:F27" si="5">+D15-D26</f>
        <v>3650451.62</v>
      </c>
      <c r="E27" s="37">
        <f t="shared" si="5"/>
        <v>0</v>
      </c>
      <c r="F27" s="37">
        <f t="shared" si="5"/>
        <v>4594548.3099999996</v>
      </c>
      <c r="G27" s="11">
        <f t="shared" si="4"/>
        <v>37123965.82</v>
      </c>
    </row>
    <row r="29" spans="1:13" x14ac:dyDescent="0.2">
      <c r="B29" s="1" t="s">
        <v>24</v>
      </c>
      <c r="E29" s="1" t="s">
        <v>25</v>
      </c>
      <c r="G29" s="1">
        <f>+G27-'[1]2-04-01-020'!$F$15</f>
        <v>0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80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931FA-BEA4-46FE-812A-71D5D265A6F4}">
  <dimension ref="A1:G44"/>
  <sheetViews>
    <sheetView zoomScaleNormal="100" workbookViewId="0">
      <selection activeCell="B47" sqref="B47"/>
    </sheetView>
  </sheetViews>
  <sheetFormatPr defaultRowHeight="12.75" x14ac:dyDescent="0.2"/>
  <cols>
    <col min="1" max="1" width="10.85546875" style="70" customWidth="1"/>
    <col min="2" max="2" width="55.85546875" style="70" customWidth="1"/>
    <col min="3" max="3" width="6.85546875" style="70" customWidth="1"/>
    <col min="4" max="4" width="17" style="70" customWidth="1"/>
  </cols>
  <sheetData>
    <row r="1" spans="1:7" ht="15.75" x14ac:dyDescent="0.25">
      <c r="A1" s="100" t="s">
        <v>1</v>
      </c>
      <c r="B1" s="100"/>
      <c r="C1" s="100"/>
      <c r="D1" s="100"/>
      <c r="E1" s="3"/>
      <c r="F1" s="3"/>
      <c r="G1" s="3"/>
    </row>
    <row r="2" spans="1:7" ht="15.75" x14ac:dyDescent="0.25">
      <c r="A2" s="58" t="s">
        <v>2</v>
      </c>
      <c r="B2" s="59"/>
      <c r="C2" s="59"/>
      <c r="D2" s="59"/>
      <c r="E2" s="3"/>
      <c r="F2" s="3"/>
      <c r="G2" s="3"/>
    </row>
    <row r="3" spans="1:7" ht="15.75" x14ac:dyDescent="0.25">
      <c r="A3" s="58" t="s">
        <v>55</v>
      </c>
      <c r="B3" s="59"/>
      <c r="C3" s="59"/>
      <c r="D3" s="59"/>
      <c r="E3" s="3"/>
      <c r="F3" s="3"/>
      <c r="G3" s="3"/>
    </row>
    <row r="5" spans="1:7" ht="15.75" x14ac:dyDescent="0.25">
      <c r="A5" s="97" t="s">
        <v>19</v>
      </c>
      <c r="B5" s="98"/>
      <c r="C5" s="98"/>
      <c r="D5" s="99"/>
    </row>
    <row r="6" spans="1:7" ht="48" x14ac:dyDescent="0.2">
      <c r="A6" s="60">
        <v>44337</v>
      </c>
      <c r="B6" s="61" t="s">
        <v>56</v>
      </c>
      <c r="C6" s="62">
        <v>136</v>
      </c>
      <c r="D6" s="74">
        <v>20835</v>
      </c>
    </row>
    <row r="7" spans="1:7" ht="48" x14ac:dyDescent="0.2">
      <c r="A7" s="63">
        <v>44420</v>
      </c>
      <c r="B7" s="64" t="s">
        <v>57</v>
      </c>
      <c r="C7" s="65">
        <v>219</v>
      </c>
      <c r="D7" s="75">
        <v>17475</v>
      </c>
    </row>
    <row r="8" spans="1:7" x14ac:dyDescent="0.2">
      <c r="A8" s="101" t="s">
        <v>52</v>
      </c>
      <c r="B8" s="101"/>
      <c r="C8" s="101"/>
      <c r="D8" s="68">
        <f>SUM(D6:D7)</f>
        <v>38310</v>
      </c>
    </row>
    <row r="10" spans="1:7" ht="15.75" x14ac:dyDescent="0.25">
      <c r="A10" s="102" t="s">
        <v>53</v>
      </c>
      <c r="B10" s="103"/>
      <c r="C10" s="103"/>
      <c r="D10" s="104"/>
    </row>
    <row r="11" spans="1:7" ht="36" x14ac:dyDescent="0.2">
      <c r="A11" s="60">
        <v>44216</v>
      </c>
      <c r="B11" s="61" t="s">
        <v>58</v>
      </c>
      <c r="C11" s="62">
        <v>8</v>
      </c>
      <c r="D11" s="74">
        <v>220000</v>
      </c>
    </row>
    <row r="12" spans="1:7" ht="36" x14ac:dyDescent="0.2">
      <c r="A12" s="60">
        <v>44348</v>
      </c>
      <c r="B12" s="61" t="s">
        <v>59</v>
      </c>
      <c r="C12" s="62">
        <v>147</v>
      </c>
      <c r="D12" s="76">
        <v>14900</v>
      </c>
    </row>
    <row r="13" spans="1:7" ht="48" x14ac:dyDescent="0.2">
      <c r="A13" s="60">
        <v>44393</v>
      </c>
      <c r="B13" s="61" t="s">
        <v>60</v>
      </c>
      <c r="C13" s="62">
        <v>190</v>
      </c>
      <c r="D13" s="66">
        <v>9995</v>
      </c>
    </row>
    <row r="14" spans="1:7" ht="48" x14ac:dyDescent="0.2">
      <c r="A14" s="60">
        <v>44524</v>
      </c>
      <c r="B14" s="77" t="s">
        <v>61</v>
      </c>
      <c r="C14" s="62">
        <v>367</v>
      </c>
      <c r="D14" s="66">
        <v>29800</v>
      </c>
    </row>
    <row r="15" spans="1:7" x14ac:dyDescent="0.2">
      <c r="A15" s="101" t="s">
        <v>52</v>
      </c>
      <c r="B15" s="101"/>
      <c r="C15" s="101"/>
      <c r="D15" s="68">
        <f>SUM(D11:D14)</f>
        <v>274695</v>
      </c>
    </row>
    <row r="17" spans="1:4" ht="15.75" x14ac:dyDescent="0.25">
      <c r="A17" s="97" t="s">
        <v>21</v>
      </c>
      <c r="B17" s="98"/>
      <c r="C17" s="98"/>
      <c r="D17" s="99"/>
    </row>
    <row r="18" spans="1:4" ht="48" x14ac:dyDescent="0.2">
      <c r="A18" s="60">
        <v>44417</v>
      </c>
      <c r="B18" s="61" t="s">
        <v>62</v>
      </c>
      <c r="C18" s="62">
        <v>212</v>
      </c>
      <c r="D18" s="74">
        <v>3690995.23</v>
      </c>
    </row>
    <row r="19" spans="1:4" ht="48" x14ac:dyDescent="0.2">
      <c r="A19" s="63">
        <v>44497</v>
      </c>
      <c r="B19" s="64" t="s">
        <v>63</v>
      </c>
      <c r="C19" s="65">
        <v>333</v>
      </c>
      <c r="D19" s="75">
        <v>2989076.99</v>
      </c>
    </row>
    <row r="20" spans="1:4" ht="48" x14ac:dyDescent="0.2">
      <c r="A20" s="63">
        <v>44526</v>
      </c>
      <c r="B20" s="78" t="s">
        <v>64</v>
      </c>
      <c r="C20" s="65">
        <v>374</v>
      </c>
      <c r="D20" s="75">
        <v>2385859.56</v>
      </c>
    </row>
    <row r="21" spans="1:4" x14ac:dyDescent="0.2">
      <c r="A21" s="101" t="s">
        <v>52</v>
      </c>
      <c r="B21" s="101"/>
      <c r="C21" s="101"/>
      <c r="D21" s="68">
        <f>SUM(D18:D20)</f>
        <v>9065931.7800000012</v>
      </c>
    </row>
    <row r="23" spans="1:4" ht="15.75" x14ac:dyDescent="0.25">
      <c r="A23" s="97" t="s">
        <v>44</v>
      </c>
      <c r="B23" s="98"/>
      <c r="C23" s="98"/>
      <c r="D23" s="99"/>
    </row>
    <row r="24" spans="1:4" ht="36" x14ac:dyDescent="0.2">
      <c r="A24" s="63">
        <v>44357</v>
      </c>
      <c r="B24" s="64" t="s">
        <v>65</v>
      </c>
      <c r="C24" s="65">
        <v>155</v>
      </c>
      <c r="D24" s="76">
        <v>1815</v>
      </c>
    </row>
    <row r="25" spans="1:4" ht="36" x14ac:dyDescent="0.2">
      <c r="A25" s="63">
        <v>44357</v>
      </c>
      <c r="B25" s="64" t="s">
        <v>66</v>
      </c>
      <c r="C25" s="65">
        <v>156</v>
      </c>
      <c r="D25" s="76">
        <v>4860</v>
      </c>
    </row>
    <row r="26" spans="1:4" ht="48" x14ac:dyDescent="0.2">
      <c r="A26" s="63">
        <v>44424</v>
      </c>
      <c r="B26" s="64" t="s">
        <v>67</v>
      </c>
      <c r="C26" s="65">
        <v>222</v>
      </c>
      <c r="D26" s="66">
        <v>14480</v>
      </c>
    </row>
    <row r="27" spans="1:4" ht="36" x14ac:dyDescent="0.2">
      <c r="A27" s="60">
        <v>44440</v>
      </c>
      <c r="B27" s="61" t="s">
        <v>68</v>
      </c>
      <c r="C27" s="62">
        <v>242</v>
      </c>
      <c r="D27" s="74">
        <v>11900</v>
      </c>
    </row>
    <row r="28" spans="1:4" ht="36" x14ac:dyDescent="0.2">
      <c r="A28" s="63">
        <v>44448</v>
      </c>
      <c r="B28" s="64" t="s">
        <v>69</v>
      </c>
      <c r="C28" s="65">
        <v>256</v>
      </c>
      <c r="D28" s="74">
        <v>48626</v>
      </c>
    </row>
    <row r="29" spans="1:4" ht="36" x14ac:dyDescent="0.2">
      <c r="A29" s="63">
        <v>44529</v>
      </c>
      <c r="B29" s="78" t="s">
        <v>70</v>
      </c>
      <c r="C29" s="65">
        <v>375</v>
      </c>
      <c r="D29" s="67">
        <v>480</v>
      </c>
    </row>
    <row r="30" spans="1:4" x14ac:dyDescent="0.2">
      <c r="A30" s="101" t="s">
        <v>52</v>
      </c>
      <c r="B30" s="101"/>
      <c r="C30" s="101"/>
      <c r="D30" s="68">
        <f>SUM(D24:D29)</f>
        <v>82161</v>
      </c>
    </row>
    <row r="31" spans="1:4" x14ac:dyDescent="0.2">
      <c r="A31" s="69"/>
    </row>
    <row r="32" spans="1:4" ht="15.75" x14ac:dyDescent="0.25">
      <c r="A32" s="97" t="str">
        <f>+'NOV2021'!A25</f>
        <v>Drugs, Medicines and Medical Supplies</v>
      </c>
      <c r="B32" s="98"/>
      <c r="C32" s="98"/>
      <c r="D32" s="99"/>
    </row>
    <row r="33" spans="1:4" ht="48" x14ac:dyDescent="0.2">
      <c r="A33" s="60">
        <v>44264</v>
      </c>
      <c r="B33" s="61" t="s">
        <v>71</v>
      </c>
      <c r="C33" s="62">
        <v>50</v>
      </c>
      <c r="D33" s="74">
        <v>14580</v>
      </c>
    </row>
    <row r="34" spans="1:4" ht="36" x14ac:dyDescent="0.2">
      <c r="A34" s="60">
        <v>44300</v>
      </c>
      <c r="B34" s="61" t="s">
        <v>72</v>
      </c>
      <c r="C34" s="62">
        <v>96</v>
      </c>
      <c r="D34" s="74">
        <v>159000</v>
      </c>
    </row>
    <row r="35" spans="1:4" ht="48" x14ac:dyDescent="0.2">
      <c r="A35" s="63">
        <v>44431</v>
      </c>
      <c r="B35" s="64" t="s">
        <v>73</v>
      </c>
      <c r="C35" s="65">
        <v>229</v>
      </c>
      <c r="D35" s="74">
        <v>295595</v>
      </c>
    </row>
    <row r="36" spans="1:4" ht="36" x14ac:dyDescent="0.2">
      <c r="A36" s="60">
        <v>44483</v>
      </c>
      <c r="B36" s="61" t="s">
        <v>74</v>
      </c>
      <c r="C36" s="62">
        <v>310</v>
      </c>
      <c r="D36" s="74">
        <v>37250</v>
      </c>
    </row>
    <row r="37" spans="1:4" ht="48" x14ac:dyDescent="0.2">
      <c r="A37" s="60">
        <v>44502</v>
      </c>
      <c r="B37" s="79" t="s">
        <v>77</v>
      </c>
      <c r="C37" s="62">
        <v>337</v>
      </c>
      <c r="D37" s="74">
        <v>385000</v>
      </c>
    </row>
    <row r="38" spans="1:4" ht="36" x14ac:dyDescent="0.2">
      <c r="A38" s="63">
        <v>44518</v>
      </c>
      <c r="B38" s="78" t="s">
        <v>75</v>
      </c>
      <c r="C38" s="65">
        <v>358</v>
      </c>
      <c r="D38" s="74">
        <v>25502.69</v>
      </c>
    </row>
    <row r="39" spans="1:4" ht="48" x14ac:dyDescent="0.2">
      <c r="A39" s="63">
        <v>44522</v>
      </c>
      <c r="B39" s="78" t="s">
        <v>76</v>
      </c>
      <c r="C39" s="65">
        <v>362</v>
      </c>
      <c r="D39" s="74">
        <v>350630</v>
      </c>
    </row>
    <row r="40" spans="1:4" ht="48" x14ac:dyDescent="0.2">
      <c r="A40" s="63">
        <v>44524</v>
      </c>
      <c r="B40" s="78" t="s">
        <v>78</v>
      </c>
      <c r="C40" s="65">
        <v>368</v>
      </c>
      <c r="D40" s="75">
        <v>39688.5</v>
      </c>
    </row>
    <row r="41" spans="1:4" x14ac:dyDescent="0.2">
      <c r="A41" s="101" t="s">
        <v>52</v>
      </c>
      <c r="B41" s="101"/>
      <c r="C41" s="101"/>
      <c r="D41" s="68">
        <f>SUM(D33:D40)</f>
        <v>1307246.19</v>
      </c>
    </row>
    <row r="43" spans="1:4" ht="16.5" thickBot="1" x14ac:dyDescent="0.3">
      <c r="B43" s="71" t="s">
        <v>54</v>
      </c>
      <c r="C43" s="72"/>
      <c r="D43" s="73">
        <f>+D8+D15+D21+D30+D41</f>
        <v>10768343.970000001</v>
      </c>
    </row>
    <row r="44" spans="1:4" ht="13.5" thickTop="1" x14ac:dyDescent="0.2"/>
  </sheetData>
  <mergeCells count="11">
    <mergeCell ref="A21:C21"/>
    <mergeCell ref="A23:D23"/>
    <mergeCell ref="A30:C30"/>
    <mergeCell ref="A32:D32"/>
    <mergeCell ref="A41:C41"/>
    <mergeCell ref="A17:D17"/>
    <mergeCell ref="A1:D1"/>
    <mergeCell ref="A5:D5"/>
    <mergeCell ref="A8:C8"/>
    <mergeCell ref="A10:D10"/>
    <mergeCell ref="A15:C15"/>
  </mergeCells>
  <pageMargins left="0.7" right="0.7" top="0.75" bottom="0.75" header="0.3" footer="0.3"/>
  <pageSetup orientation="portrait" horizontalDpi="4294967293" verticalDpi="0" copies="4" r:id="rId1"/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9E20-341A-4FD9-9408-45E814CD174C}">
  <sheetPr>
    <tabColor rgb="FFFFFF00"/>
  </sheetPr>
  <dimension ref="A1:M35"/>
  <sheetViews>
    <sheetView topLeftCell="B1" zoomScaleNormal="100" workbookViewId="0">
      <pane ySplit="9" topLeftCell="A16" activePane="bottomLeft" state="frozen"/>
      <selection activeCell="E34" sqref="E34"/>
      <selection pane="bottomLeft" activeCell="F28" sqref="F28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79</v>
      </c>
      <c r="B4" s="94"/>
      <c r="C4" s="94"/>
      <c r="D4" s="94"/>
      <c r="E4" s="94"/>
      <c r="F4" s="94"/>
      <c r="G4" s="94"/>
    </row>
    <row r="5" spans="1:7" s="3" customFormat="1" x14ac:dyDescent="0.2">
      <c r="A5" s="80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81" t="s">
        <v>10</v>
      </c>
      <c r="C9" s="81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82">
        <f>3329194.07+2997997.59</f>
        <v>6327191.6600000001</v>
      </c>
      <c r="C13" s="82">
        <f>556031+22466131.73</f>
        <v>23022162.73</v>
      </c>
      <c r="D13" s="23"/>
      <c r="E13" s="23"/>
      <c r="F13" s="23"/>
      <c r="G13" s="8">
        <f t="shared" si="0"/>
        <v>29349354.390000001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f>10410533+10255089</f>
        <v>20665622</v>
      </c>
      <c r="E14" s="21"/>
      <c r="F14" s="22">
        <f>1344712+152500+213500+195000+450000+572500+472500+432500+537500+620000+392500+157500+105000</f>
        <v>5645712</v>
      </c>
      <c r="G14" s="8">
        <f t="shared" si="0"/>
        <v>26576794</v>
      </c>
    </row>
    <row r="15" spans="1:7" s="12" customFormat="1" ht="26.25" customHeight="1" x14ac:dyDescent="0.2">
      <c r="A15" s="10" t="s">
        <v>17</v>
      </c>
      <c r="B15" s="11">
        <f>SUM(B10:B14)</f>
        <v>6406829.6600000001</v>
      </c>
      <c r="C15" s="11">
        <f t="shared" ref="C15:G15" si="1">SUM(C10:C14)</f>
        <v>23207984.73</v>
      </c>
      <c r="D15" s="11">
        <f t="shared" si="1"/>
        <v>20665622</v>
      </c>
      <c r="E15" s="11">
        <f t="shared" si="1"/>
        <v>0</v>
      </c>
      <c r="F15" s="11">
        <f t="shared" si="1"/>
        <v>5645712</v>
      </c>
      <c r="G15" s="11">
        <f t="shared" si="1"/>
        <v>55926148.390000001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20835+17475</f>
        <v>38310</v>
      </c>
      <c r="D17" s="25"/>
      <c r="E17" s="25"/>
      <c r="F17" s="25"/>
      <c r="G17" s="8">
        <f t="shared" ref="G17:G24" si="2">SUM(B17:F17)</f>
        <v>38310</v>
      </c>
    </row>
    <row r="18" spans="1:13" s="9" customFormat="1" ht="26.25" customHeight="1" x14ac:dyDescent="0.2">
      <c r="A18" s="13" t="s">
        <v>20</v>
      </c>
      <c r="B18" s="24"/>
      <c r="C18" s="19">
        <v>90600</v>
      </c>
      <c r="D18" s="27"/>
      <c r="E18" s="27"/>
      <c r="F18" s="27">
        <f>220000+14900+9995+29800+69000</f>
        <v>343695</v>
      </c>
      <c r="G18" s="8">
        <f t="shared" si="2"/>
        <v>434295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f>3690995.23+2989076.99+2385859.56+4987298.71+1246613.67+1301386.64</f>
        <v>16601230.800000003</v>
      </c>
      <c r="E19" s="27"/>
      <c r="F19" s="27"/>
      <c r="G19" s="8">
        <f t="shared" si="2"/>
        <v>16601230.800000003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>
        <v>370725</v>
      </c>
      <c r="E22" s="27"/>
      <c r="F22" s="27"/>
      <c r="G22" s="8">
        <f t="shared" si="2"/>
        <v>370725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1815+4860+14480+11900+48626+480</f>
        <v>82161</v>
      </c>
      <c r="G24" s="8">
        <f t="shared" si="2"/>
        <v>82161</v>
      </c>
    </row>
    <row r="25" spans="1:13" s="9" customFormat="1" ht="26.25" customHeight="1" x14ac:dyDescent="0.2">
      <c r="A25" s="7" t="s">
        <v>40</v>
      </c>
      <c r="B25" s="24"/>
      <c r="C25" s="26">
        <f>37250+385000+39688.5</f>
        <v>461938.5</v>
      </c>
      <c r="D25" s="27"/>
      <c r="E25" s="27"/>
      <c r="F25" s="27">
        <f>14580+159000+295595+25502.69+350630</f>
        <v>845307.69</v>
      </c>
      <c r="G25" s="8">
        <f t="shared" si="0"/>
        <v>1307246.19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590848.5</v>
      </c>
      <c r="D26" s="11">
        <f t="shared" si="3"/>
        <v>16971955.800000004</v>
      </c>
      <c r="E26" s="11">
        <f t="shared" si="3"/>
        <v>0</v>
      </c>
      <c r="F26" s="11">
        <f t="shared" si="3"/>
        <v>1271163.69</v>
      </c>
      <c r="G26" s="11">
        <f t="shared" si="3"/>
        <v>18833967.990000006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6406829.6600000001</v>
      </c>
      <c r="C27" s="37">
        <f>+C15-C26</f>
        <v>22617136.23</v>
      </c>
      <c r="D27" s="37">
        <f t="shared" ref="D27:F27" si="5">+D15-D26</f>
        <v>3693666.1999999955</v>
      </c>
      <c r="E27" s="37">
        <f t="shared" si="5"/>
        <v>0</v>
      </c>
      <c r="F27" s="37">
        <f t="shared" si="5"/>
        <v>4374548.3100000005</v>
      </c>
      <c r="G27" s="11">
        <f t="shared" si="4"/>
        <v>37092180.399999991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80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931-1FEB-4A76-96E3-0E035789B2BD}">
  <sheetPr>
    <tabColor rgb="FFFFFF00"/>
  </sheetPr>
  <dimension ref="A1:M35"/>
  <sheetViews>
    <sheetView zoomScaleNormal="100" workbookViewId="0">
      <pane ySplit="9" topLeftCell="A13" activePane="bottomLeft" state="frozen"/>
      <selection activeCell="E34" sqref="E34"/>
      <selection pane="bottomLeft" activeCell="C25" sqref="C25"/>
    </sheetView>
  </sheetViews>
  <sheetFormatPr defaultRowHeight="12.75" x14ac:dyDescent="0.2"/>
  <cols>
    <col min="1" max="1" width="23.140625" customWidth="1"/>
    <col min="2" max="7" width="19.140625" style="1" customWidth="1"/>
  </cols>
  <sheetData>
    <row r="1" spans="1:7" x14ac:dyDescent="0.2">
      <c r="G1" s="2" t="s">
        <v>0</v>
      </c>
    </row>
    <row r="2" spans="1:7" s="3" customFormat="1" x14ac:dyDescent="0.2">
      <c r="A2" s="94" t="s">
        <v>1</v>
      </c>
      <c r="B2" s="94"/>
      <c r="C2" s="94"/>
      <c r="D2" s="94"/>
      <c r="E2" s="94"/>
      <c r="F2" s="94"/>
      <c r="G2" s="94"/>
    </row>
    <row r="3" spans="1:7" s="3" customFormat="1" x14ac:dyDescent="0.2">
      <c r="A3" s="94" t="s">
        <v>2</v>
      </c>
      <c r="B3" s="94"/>
      <c r="C3" s="94"/>
      <c r="D3" s="94"/>
      <c r="E3" s="94"/>
      <c r="F3" s="94"/>
      <c r="G3" s="94"/>
    </row>
    <row r="4" spans="1:7" s="3" customFormat="1" x14ac:dyDescent="0.2">
      <c r="A4" s="94" t="s">
        <v>49</v>
      </c>
      <c r="B4" s="94"/>
      <c r="C4" s="94"/>
      <c r="D4" s="94"/>
      <c r="E4" s="94"/>
      <c r="F4" s="94"/>
      <c r="G4" s="94"/>
    </row>
    <row r="5" spans="1:7" s="3" customFormat="1" x14ac:dyDescent="0.2">
      <c r="A5" s="54"/>
      <c r="B5" s="4"/>
      <c r="C5" s="4"/>
      <c r="D5" s="4"/>
      <c r="E5" s="4"/>
      <c r="F5" s="4"/>
      <c r="G5" s="4"/>
    </row>
    <row r="6" spans="1:7" s="3" customFormat="1" x14ac:dyDescent="0.2">
      <c r="A6" s="3" t="s">
        <v>3</v>
      </c>
      <c r="B6" s="5"/>
      <c r="C6" s="5"/>
      <c r="D6" s="5"/>
      <c r="E6" s="5"/>
      <c r="F6" s="5"/>
      <c r="G6" s="5"/>
    </row>
    <row r="7" spans="1:7" s="3" customFormat="1" ht="6" customHeight="1" x14ac:dyDescent="0.2">
      <c r="B7" s="5"/>
      <c r="C7" s="5"/>
      <c r="D7" s="5"/>
      <c r="E7" s="5"/>
      <c r="F7" s="5"/>
      <c r="G7" s="5"/>
    </row>
    <row r="8" spans="1:7" s="6" customFormat="1" x14ac:dyDescent="0.2">
      <c r="A8" s="95" t="s">
        <v>4</v>
      </c>
      <c r="B8" s="96" t="s">
        <v>5</v>
      </c>
      <c r="C8" s="96"/>
      <c r="D8" s="96" t="s">
        <v>6</v>
      </c>
      <c r="E8" s="96" t="s">
        <v>7</v>
      </c>
      <c r="F8" s="96" t="s">
        <v>8</v>
      </c>
      <c r="G8" s="96" t="s">
        <v>9</v>
      </c>
    </row>
    <row r="9" spans="1:7" s="6" customFormat="1" ht="29.25" customHeight="1" x14ac:dyDescent="0.2">
      <c r="A9" s="95"/>
      <c r="B9" s="55" t="s">
        <v>10</v>
      </c>
      <c r="C9" s="55" t="s">
        <v>11</v>
      </c>
      <c r="D9" s="96"/>
      <c r="E9" s="96"/>
      <c r="F9" s="96"/>
      <c r="G9" s="96"/>
    </row>
    <row r="10" spans="1:7" s="9" customFormat="1" ht="26.25" customHeight="1" x14ac:dyDescent="0.2">
      <c r="A10" s="7" t="s">
        <v>12</v>
      </c>
      <c r="B10" s="8"/>
      <c r="C10" s="8"/>
      <c r="D10" s="8"/>
      <c r="E10" s="8"/>
      <c r="F10" s="8"/>
      <c r="G10" s="8">
        <f>SUM(B10:F10)</f>
        <v>0</v>
      </c>
    </row>
    <row r="11" spans="1:7" s="9" customFormat="1" ht="26.25" customHeight="1" x14ac:dyDescent="0.2">
      <c r="A11" s="7" t="s">
        <v>13</v>
      </c>
      <c r="B11" s="8"/>
      <c r="C11" s="8"/>
      <c r="D11" s="8"/>
      <c r="E11" s="8"/>
      <c r="F11" s="8"/>
      <c r="G11" s="8">
        <f t="shared" ref="G11:G25" si="0">SUM(B11:F11)</f>
        <v>0</v>
      </c>
    </row>
    <row r="12" spans="1:7" s="9" customFormat="1" ht="26.25" customHeight="1" x14ac:dyDescent="0.2">
      <c r="A12" s="7" t="s">
        <v>14</v>
      </c>
      <c r="B12" s="8"/>
      <c r="C12" s="8"/>
      <c r="D12" s="8"/>
      <c r="E12" s="8"/>
      <c r="F12" s="8"/>
      <c r="G12" s="8">
        <f t="shared" si="0"/>
        <v>0</v>
      </c>
    </row>
    <row r="13" spans="1:7" s="9" customFormat="1" ht="41.25" customHeight="1" x14ac:dyDescent="0.2">
      <c r="A13" s="7" t="s">
        <v>15</v>
      </c>
      <c r="B13" s="22">
        <v>3329194.07</v>
      </c>
      <c r="C13" s="22">
        <v>556031</v>
      </c>
      <c r="D13" s="23"/>
      <c r="E13" s="23"/>
      <c r="F13" s="23"/>
      <c r="G13" s="8">
        <f t="shared" si="0"/>
        <v>3885225.07</v>
      </c>
    </row>
    <row r="14" spans="1:7" s="9" customFormat="1" ht="26.25" customHeight="1" x14ac:dyDescent="0.2">
      <c r="A14" s="7" t="s">
        <v>16</v>
      </c>
      <c r="B14" s="38">
        <f>265460*0.3</f>
        <v>79638</v>
      </c>
      <c r="C14" s="39">
        <f>265460*0.7</f>
        <v>185822</v>
      </c>
      <c r="D14" s="21">
        <v>10410533</v>
      </c>
      <c r="E14" s="21"/>
      <c r="F14" s="22">
        <f>1344712+152500+213500+195000+450000+572500+472500+432500+537500+620000+392500+157500</f>
        <v>5540712</v>
      </c>
      <c r="G14" s="8">
        <f t="shared" si="0"/>
        <v>16216705</v>
      </c>
    </row>
    <row r="15" spans="1:7" s="12" customFormat="1" ht="26.25" customHeight="1" x14ac:dyDescent="0.2">
      <c r="A15" s="10" t="s">
        <v>17</v>
      </c>
      <c r="B15" s="11">
        <f>SUM(B10:B14)</f>
        <v>3408832.07</v>
      </c>
      <c r="C15" s="11">
        <f t="shared" ref="C15:G15" si="1">SUM(C10:C14)</f>
        <v>741853</v>
      </c>
      <c r="D15" s="11">
        <f t="shared" si="1"/>
        <v>10410533</v>
      </c>
      <c r="E15" s="11">
        <f t="shared" si="1"/>
        <v>0</v>
      </c>
      <c r="F15" s="11">
        <f t="shared" si="1"/>
        <v>5540712</v>
      </c>
      <c r="G15" s="11">
        <f t="shared" si="1"/>
        <v>20101930.07</v>
      </c>
    </row>
    <row r="16" spans="1:7" s="9" customFormat="1" ht="26.25" customHeight="1" x14ac:dyDescent="0.2">
      <c r="A16" s="7" t="s">
        <v>18</v>
      </c>
      <c r="B16" s="24"/>
      <c r="C16" s="24"/>
      <c r="D16" s="24"/>
      <c r="E16" s="24"/>
      <c r="F16" s="24"/>
      <c r="G16" s="8"/>
    </row>
    <row r="17" spans="1:13" s="9" customFormat="1" ht="26.25" customHeight="1" x14ac:dyDescent="0.2">
      <c r="A17" s="13" t="s">
        <v>19</v>
      </c>
      <c r="B17" s="24"/>
      <c r="C17" s="22">
        <f>20835+17475</f>
        <v>38310</v>
      </c>
      <c r="D17" s="25"/>
      <c r="E17" s="25"/>
      <c r="F17" s="25"/>
      <c r="G17" s="8">
        <f t="shared" ref="G17:G24" si="2">SUM(B17:F17)</f>
        <v>38310</v>
      </c>
    </row>
    <row r="18" spans="1:13" s="9" customFormat="1" ht="26.25" customHeight="1" x14ac:dyDescent="0.2">
      <c r="A18" s="13" t="s">
        <v>20</v>
      </c>
      <c r="B18" s="24"/>
      <c r="C18" s="19"/>
      <c r="D18" s="27"/>
      <c r="E18" s="27"/>
      <c r="F18" s="27">
        <f>220000+14900+9995+29800</f>
        <v>274695</v>
      </c>
      <c r="G18" s="8">
        <f t="shared" si="2"/>
        <v>274695</v>
      </c>
      <c r="M18" s="9" t="s">
        <v>32</v>
      </c>
    </row>
    <row r="19" spans="1:13" s="9" customFormat="1" ht="26.25" customHeight="1" x14ac:dyDescent="0.2">
      <c r="A19" s="13" t="s">
        <v>21</v>
      </c>
      <c r="B19" s="24"/>
      <c r="C19" s="26"/>
      <c r="D19" s="27">
        <f>3690995.23+2989076.99+2385859.56</f>
        <v>9065931.7800000012</v>
      </c>
      <c r="E19" s="27"/>
      <c r="F19" s="27"/>
      <c r="G19" s="8">
        <f t="shared" si="2"/>
        <v>9065931.7800000012</v>
      </c>
    </row>
    <row r="20" spans="1:13" s="9" customFormat="1" ht="26.25" customHeight="1" x14ac:dyDescent="0.2">
      <c r="A20" s="7" t="s">
        <v>29</v>
      </c>
      <c r="B20" s="24"/>
      <c r="C20" s="26"/>
      <c r="D20" s="27"/>
      <c r="E20" s="27"/>
      <c r="F20" s="27"/>
      <c r="G20" s="8">
        <f t="shared" si="2"/>
        <v>0</v>
      </c>
    </row>
    <row r="21" spans="1:13" s="9" customFormat="1" ht="26.25" customHeight="1" x14ac:dyDescent="0.2">
      <c r="A21" s="7" t="s">
        <v>31</v>
      </c>
      <c r="B21" s="24"/>
      <c r="C21" s="26"/>
      <c r="D21" s="27"/>
      <c r="E21" s="27"/>
      <c r="F21" s="27"/>
      <c r="G21" s="8">
        <f t="shared" si="2"/>
        <v>0</v>
      </c>
    </row>
    <row r="22" spans="1:13" s="9" customFormat="1" ht="26.25" customHeight="1" x14ac:dyDescent="0.2">
      <c r="A22" s="7" t="s">
        <v>34</v>
      </c>
      <c r="B22" s="24"/>
      <c r="C22" s="26"/>
      <c r="D22" s="27"/>
      <c r="E22" s="27"/>
      <c r="F22" s="27"/>
      <c r="G22" s="8">
        <f t="shared" si="2"/>
        <v>0</v>
      </c>
    </row>
    <row r="23" spans="1:13" s="9" customFormat="1" ht="26.25" customHeight="1" x14ac:dyDescent="0.2">
      <c r="A23" s="7" t="s">
        <v>36</v>
      </c>
      <c r="B23" s="24"/>
      <c r="C23" s="26"/>
      <c r="D23" s="27"/>
      <c r="E23" s="27"/>
      <c r="F23" s="30"/>
      <c r="G23" s="8">
        <f t="shared" si="2"/>
        <v>0</v>
      </c>
    </row>
    <row r="24" spans="1:13" s="9" customFormat="1" ht="26.25" customHeight="1" x14ac:dyDescent="0.2">
      <c r="A24" s="7" t="s">
        <v>44</v>
      </c>
      <c r="B24" s="24"/>
      <c r="C24" s="26"/>
      <c r="D24" s="27"/>
      <c r="E24" s="27"/>
      <c r="F24" s="30">
        <f>1815+4860+14480+11900+48626+480</f>
        <v>82161</v>
      </c>
      <c r="G24" s="8">
        <f t="shared" si="2"/>
        <v>82161</v>
      </c>
    </row>
    <row r="25" spans="1:13" s="9" customFormat="1" ht="26.25" customHeight="1" x14ac:dyDescent="0.2">
      <c r="A25" s="7" t="s">
        <v>40</v>
      </c>
      <c r="B25" s="24"/>
      <c r="C25" s="26">
        <f>37250+385000+39688.5</f>
        <v>461938.5</v>
      </c>
      <c r="D25" s="27"/>
      <c r="E25" s="27"/>
      <c r="F25" s="27">
        <f>14580+159000+295595+25502.69+350630</f>
        <v>845307.69</v>
      </c>
      <c r="G25" s="8">
        <f t="shared" si="0"/>
        <v>1307246.19</v>
      </c>
    </row>
    <row r="26" spans="1:13" s="12" customFormat="1" ht="26.25" customHeight="1" x14ac:dyDescent="0.2">
      <c r="A26" s="10" t="s">
        <v>22</v>
      </c>
      <c r="B26" s="11">
        <f t="shared" ref="B26:G26" si="3">SUM(B17:B25)</f>
        <v>0</v>
      </c>
      <c r="C26" s="17">
        <f t="shared" si="3"/>
        <v>500248.5</v>
      </c>
      <c r="D26" s="11">
        <f t="shared" si="3"/>
        <v>9065931.7800000012</v>
      </c>
      <c r="E26" s="11">
        <f t="shared" si="3"/>
        <v>0</v>
      </c>
      <c r="F26" s="11">
        <f t="shared" si="3"/>
        <v>1202163.69</v>
      </c>
      <c r="G26" s="11">
        <f t="shared" si="3"/>
        <v>10768343.970000001</v>
      </c>
    </row>
    <row r="27" spans="1:13" s="9" customFormat="1" ht="26.25" customHeight="1" x14ac:dyDescent="0.2">
      <c r="A27" s="10" t="s">
        <v>23</v>
      </c>
      <c r="B27" s="11">
        <f t="shared" ref="B27:G27" si="4">+B15-B26</f>
        <v>3408832.07</v>
      </c>
      <c r="C27" s="37">
        <f>+C15-C26</f>
        <v>241604.5</v>
      </c>
      <c r="D27" s="37">
        <f t="shared" ref="D27:F27" si="5">+D15-D26</f>
        <v>1344601.2199999988</v>
      </c>
      <c r="E27" s="37">
        <f t="shared" si="5"/>
        <v>0</v>
      </c>
      <c r="F27" s="37">
        <f t="shared" si="5"/>
        <v>4338548.3100000005</v>
      </c>
      <c r="G27" s="11">
        <f t="shared" si="4"/>
        <v>9333586.0999999996</v>
      </c>
    </row>
    <row r="29" spans="1:13" x14ac:dyDescent="0.2">
      <c r="B29" s="1" t="s">
        <v>24</v>
      </c>
      <c r="E29" s="1" t="s">
        <v>25</v>
      </c>
    </row>
    <row r="31" spans="1:13" x14ac:dyDescent="0.2">
      <c r="B31" s="14"/>
      <c r="E31" s="14"/>
    </row>
    <row r="32" spans="1:13" x14ac:dyDescent="0.2">
      <c r="B32" s="15" t="s">
        <v>26</v>
      </c>
      <c r="E32" s="15" t="s">
        <v>50</v>
      </c>
    </row>
    <row r="33" spans="1:13" x14ac:dyDescent="0.2">
      <c r="B33" s="15" t="s">
        <v>33</v>
      </c>
      <c r="E33" s="15" t="s">
        <v>80</v>
      </c>
    </row>
    <row r="35" spans="1:13" s="1" customFormat="1" x14ac:dyDescent="0.2">
      <c r="A35" s="16"/>
      <c r="H35"/>
      <c r="I35"/>
      <c r="J35"/>
      <c r="K35"/>
      <c r="L35"/>
      <c r="M35"/>
    </row>
  </sheetData>
  <mergeCells count="9">
    <mergeCell ref="A2:G2"/>
    <mergeCell ref="A3:G3"/>
    <mergeCell ref="A4:G4"/>
    <mergeCell ref="A8:A9"/>
    <mergeCell ref="B8:C8"/>
    <mergeCell ref="D8:D9"/>
    <mergeCell ref="E8:E9"/>
    <mergeCell ref="F8:F9"/>
    <mergeCell ref="G8:G9"/>
  </mergeCells>
  <pageMargins left="0.49" right="0.38" top="0.38" bottom="0.23" header="0.3" footer="0.3"/>
  <pageSetup scale="80" orientation="landscape" horizontalDpi="4294967294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JUNE2022</vt:lpstr>
      <vt:lpstr>MAY2022</vt:lpstr>
      <vt:lpstr>APR2022</vt:lpstr>
      <vt:lpstr>MAR2022</vt:lpstr>
      <vt:lpstr>FEB2022</vt:lpstr>
      <vt:lpstr>JAN2022</vt:lpstr>
      <vt:lpstr>breakdown</vt:lpstr>
      <vt:lpstr>DEC2021</vt:lpstr>
      <vt:lpstr>NOV2021</vt:lpstr>
      <vt:lpstr>NOV2021 (2)</vt:lpstr>
      <vt:lpstr>OCT2021</vt:lpstr>
      <vt:lpstr>SEPT2021</vt:lpstr>
      <vt:lpstr>AUG2021</vt:lpstr>
      <vt:lpstr>JULY2021</vt:lpstr>
      <vt:lpstr>JUNE2021</vt:lpstr>
      <vt:lpstr>MAY2021</vt:lpstr>
      <vt:lpstr>APR2021</vt:lpstr>
      <vt:lpstr>MARCH ADJUSTED</vt:lpstr>
      <vt:lpstr>MAR2021</vt:lpstr>
      <vt:lpstr>FEB2021</vt:lpstr>
      <vt:lpstr>JAN2021</vt:lpstr>
      <vt:lpstr>DEC2020</vt:lpstr>
      <vt:lpstr>DEC2020 (2)</vt:lpstr>
      <vt:lpstr>'APR2021'!Print_Area</vt:lpstr>
      <vt:lpstr>'APR2022'!Print_Area</vt:lpstr>
      <vt:lpstr>'AUG2021'!Print_Area</vt:lpstr>
      <vt:lpstr>'DEC2020'!Print_Area</vt:lpstr>
      <vt:lpstr>'DEC2020 (2)'!Print_Area</vt:lpstr>
      <vt:lpstr>'DEC2021'!Print_Area</vt:lpstr>
      <vt:lpstr>'FEB2021'!Print_Area</vt:lpstr>
      <vt:lpstr>'FEB2022'!Print_Area</vt:lpstr>
      <vt:lpstr>'JAN2021'!Print_Area</vt:lpstr>
      <vt:lpstr>'JAN2022'!Print_Area</vt:lpstr>
      <vt:lpstr>JULY2021!Print_Area</vt:lpstr>
      <vt:lpstr>JUNE2021!Print_Area</vt:lpstr>
      <vt:lpstr>JUNE2022!Print_Area</vt:lpstr>
      <vt:lpstr>'MAR2021'!Print_Area</vt:lpstr>
      <vt:lpstr>'MAR2022'!Print_Area</vt:lpstr>
      <vt:lpstr>'MARCH ADJUSTED'!Print_Area</vt:lpstr>
      <vt:lpstr>'MAY2021'!Print_Area</vt:lpstr>
      <vt:lpstr>'MAY2022'!Print_Area</vt:lpstr>
      <vt:lpstr>'NOV2021'!Print_Area</vt:lpstr>
      <vt:lpstr>'NOV2021 (2)'!Print_Area</vt:lpstr>
      <vt:lpstr>'OCT2021'!Print_Area</vt:lpstr>
      <vt:lpstr>SEPT2021!Print_Area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CACCO-Bangs</dc:creator>
  <cp:lastModifiedBy>CACCO</cp:lastModifiedBy>
  <cp:lastPrinted>2022-07-13T02:02:07Z</cp:lastPrinted>
  <dcterms:created xsi:type="dcterms:W3CDTF">2017-05-09T06:48:44Z</dcterms:created>
  <dcterms:modified xsi:type="dcterms:W3CDTF">2022-07-13T02:03:09Z</dcterms:modified>
</cp:coreProperties>
</file>